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MS\Downloads\"/>
    </mc:Choice>
  </mc:AlternateContent>
  <bookViews>
    <workbookView xWindow="0" yWindow="0" windowWidth="28800" windowHeight="11745" tabRatio="740"/>
  </bookViews>
  <sheets>
    <sheet name="Custo por trabalhador" sheetId="2" r:id="rId1"/>
    <sheet name="A - SERV GERAIS HIGIENE 40H" sheetId="3" r:id="rId2"/>
    <sheet name="B SERV GERAIS HIGIENE 12X36 DIU" sheetId="29" r:id="rId3"/>
    <sheet name="C SERV GERAIS HIGIENE 12X36 NOT" sheetId="18" r:id="rId4"/>
    <sheet name="D COPACOZINHA 12X36 DIU" sheetId="30" r:id="rId5"/>
    <sheet name="E COPACOZINHA 12X36 INTERMEDIAR" sheetId="31" r:id="rId6"/>
    <sheet name="F COPACOZINHA 12X36 NOTURNO" sheetId="32" r:id="rId7"/>
    <sheet name="G COPACOZINHA 40H" sheetId="25" r:id="rId8"/>
    <sheet name="H SERV GERAIS HIGI COPA 40H" sheetId="26" r:id="rId9"/>
    <sheet name="I SUPERVISOR UPA" sheetId="27" r:id="rId10"/>
    <sheet name="J SUPERVISOR DEMAIS UNIDADES" sheetId="28" r:id="rId1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20" i="28" l="1"/>
  <c r="D119" i="28"/>
  <c r="D118" i="28"/>
  <c r="D117" i="28"/>
  <c r="D116" i="28"/>
  <c r="D115" i="28"/>
  <c r="C107" i="28"/>
  <c r="C105" i="28"/>
  <c r="C79" i="28"/>
  <c r="C82" i="28"/>
  <c r="C81" i="28"/>
  <c r="C80" i="28"/>
  <c r="C78" i="28"/>
  <c r="C68" i="28"/>
  <c r="C67" i="28"/>
  <c r="C66" i="28"/>
  <c r="C50" i="28"/>
  <c r="C49" i="28"/>
  <c r="C48" i="28"/>
  <c r="C47" i="28"/>
  <c r="C46" i="28"/>
  <c r="C25" i="28"/>
  <c r="C26" i="28" s="1"/>
  <c r="C24" i="28"/>
  <c r="C11" i="28"/>
  <c r="C9" i="28"/>
  <c r="D120" i="27"/>
  <c r="D119" i="27"/>
  <c r="D118" i="27"/>
  <c r="D117" i="27"/>
  <c r="D116" i="27"/>
  <c r="D115" i="27"/>
  <c r="C107" i="27"/>
  <c r="C105" i="27"/>
  <c r="C83" i="27"/>
  <c r="C82" i="27"/>
  <c r="C81" i="27"/>
  <c r="C80" i="27"/>
  <c r="C79" i="27"/>
  <c r="C78" i="27"/>
  <c r="C68" i="27"/>
  <c r="C69" i="27" s="1"/>
  <c r="C129" i="27" s="1"/>
  <c r="C67" i="27"/>
  <c r="C66" i="27"/>
  <c r="C50" i="27"/>
  <c r="C51" i="27" s="1"/>
  <c r="C59" i="27" s="1"/>
  <c r="C49" i="27"/>
  <c r="C48" i="27"/>
  <c r="C47" i="27"/>
  <c r="C46" i="27"/>
  <c r="C25" i="27"/>
  <c r="C24" i="27"/>
  <c r="C11" i="27"/>
  <c r="C9" i="27"/>
  <c r="D120" i="26"/>
  <c r="D119" i="26"/>
  <c r="D118" i="26"/>
  <c r="D117" i="26"/>
  <c r="D116" i="26"/>
  <c r="D115" i="26"/>
  <c r="C107" i="26"/>
  <c r="C105" i="26"/>
  <c r="C82" i="26"/>
  <c r="C81" i="26"/>
  <c r="C80" i="26"/>
  <c r="C79" i="26"/>
  <c r="C78" i="26"/>
  <c r="C68" i="26"/>
  <c r="C67" i="26"/>
  <c r="C66" i="26"/>
  <c r="C50" i="26"/>
  <c r="C49" i="26"/>
  <c r="C48" i="26"/>
  <c r="C47" i="26"/>
  <c r="C46" i="26"/>
  <c r="C25" i="26"/>
  <c r="C24" i="26"/>
  <c r="C15" i="26"/>
  <c r="C11" i="26"/>
  <c r="C9" i="26"/>
  <c r="D116" i="25"/>
  <c r="D115" i="25"/>
  <c r="D120" i="25"/>
  <c r="D119" i="25"/>
  <c r="D118" i="25"/>
  <c r="D117" i="25"/>
  <c r="C107" i="25"/>
  <c r="C105" i="25"/>
  <c r="C80" i="25"/>
  <c r="C78" i="25"/>
  <c r="C82" i="25"/>
  <c r="C81" i="25"/>
  <c r="C79" i="25"/>
  <c r="C68" i="25"/>
  <c r="C67" i="25"/>
  <c r="C66" i="25"/>
  <c r="C49" i="25"/>
  <c r="C48" i="25"/>
  <c r="C50" i="25"/>
  <c r="C47" i="25"/>
  <c r="C46" i="25"/>
  <c r="C25" i="25"/>
  <c r="C24" i="25"/>
  <c r="C11" i="25"/>
  <c r="C9" i="25"/>
  <c r="D120" i="32"/>
  <c r="D119" i="32"/>
  <c r="D118" i="32"/>
  <c r="D117" i="32"/>
  <c r="D116" i="32"/>
  <c r="D115" i="32"/>
  <c r="C107" i="32"/>
  <c r="C105" i="32"/>
  <c r="C109" i="32" s="1"/>
  <c r="C131" i="32" s="1"/>
  <c r="C80" i="32"/>
  <c r="C79" i="32"/>
  <c r="C78" i="32"/>
  <c r="C82" i="32"/>
  <c r="C81" i="32"/>
  <c r="C68" i="32"/>
  <c r="C67" i="32"/>
  <c r="C66" i="32"/>
  <c r="C50" i="32"/>
  <c r="C49" i="32"/>
  <c r="C48" i="32"/>
  <c r="C47" i="32"/>
  <c r="C46" i="32"/>
  <c r="C25" i="32"/>
  <c r="C26" i="32" s="1"/>
  <c r="C24" i="32"/>
  <c r="C13" i="32"/>
  <c r="C12" i="32"/>
  <c r="C11" i="32"/>
  <c r="C9" i="32"/>
  <c r="C117" i="32"/>
  <c r="C116" i="32"/>
  <c r="C115" i="32"/>
  <c r="C90" i="32"/>
  <c r="C91" i="32" s="1"/>
  <c r="C98" i="32" s="1"/>
  <c r="C69" i="32"/>
  <c r="C129" i="32" s="1"/>
  <c r="B50" i="32"/>
  <c r="B49" i="32"/>
  <c r="B48" i="32"/>
  <c r="C51" i="32"/>
  <c r="C59" i="32" s="1"/>
  <c r="C40" i="32"/>
  <c r="C34" i="32"/>
  <c r="C15" i="32"/>
  <c r="C16" i="32"/>
  <c r="C127" i="32" s="1"/>
  <c r="D120" i="31"/>
  <c r="D119" i="31"/>
  <c r="D118" i="31"/>
  <c r="D117" i="31"/>
  <c r="D116" i="31"/>
  <c r="D115" i="31"/>
  <c r="C107" i="31"/>
  <c r="C105" i="31"/>
  <c r="C82" i="31"/>
  <c r="C81" i="31"/>
  <c r="C80" i="31"/>
  <c r="C79" i="31"/>
  <c r="C78" i="31"/>
  <c r="C68" i="31"/>
  <c r="C67" i="31"/>
  <c r="C66" i="31"/>
  <c r="C50" i="31"/>
  <c r="C49" i="31"/>
  <c r="C48" i="31"/>
  <c r="C47" i="31"/>
  <c r="C46" i="31"/>
  <c r="D37" i="31"/>
  <c r="D35" i="31"/>
  <c r="D34" i="31"/>
  <c r="D33" i="31"/>
  <c r="D32" i="31"/>
  <c r="C25" i="31"/>
  <c r="C24" i="31"/>
  <c r="C13" i="31"/>
  <c r="C12" i="31"/>
  <c r="C11" i="31"/>
  <c r="C9" i="31"/>
  <c r="C117" i="31"/>
  <c r="C116" i="31"/>
  <c r="C115" i="31"/>
  <c r="C109" i="31"/>
  <c r="C131" i="31" s="1"/>
  <c r="C90" i="31"/>
  <c r="C91" i="31" s="1"/>
  <c r="C98" i="31" s="1"/>
  <c r="B50" i="31"/>
  <c r="B49" i="31"/>
  <c r="B48" i="31"/>
  <c r="C34" i="31"/>
  <c r="C40" i="31" s="1"/>
  <c r="C15" i="31"/>
  <c r="D121" i="30"/>
  <c r="D120" i="30"/>
  <c r="D119" i="30"/>
  <c r="D118" i="30"/>
  <c r="D116" i="30"/>
  <c r="D115" i="30"/>
  <c r="C107" i="30"/>
  <c r="C105" i="30"/>
  <c r="C79" i="30"/>
  <c r="C78" i="30"/>
  <c r="C82" i="30"/>
  <c r="C81" i="30"/>
  <c r="C80" i="30"/>
  <c r="C68" i="30"/>
  <c r="C67" i="30"/>
  <c r="C66" i="30"/>
  <c r="C69" i="30" s="1"/>
  <c r="C129" i="30" s="1"/>
  <c r="C50" i="30"/>
  <c r="C49" i="30"/>
  <c r="C48" i="30"/>
  <c r="C47" i="30"/>
  <c r="C46" i="30"/>
  <c r="D40" i="30"/>
  <c r="D39" i="30"/>
  <c r="D38" i="30"/>
  <c r="D37" i="30"/>
  <c r="D36" i="30"/>
  <c r="D35" i="30"/>
  <c r="D34" i="30"/>
  <c r="D33" i="30"/>
  <c r="D32" i="30"/>
  <c r="C25" i="30"/>
  <c r="C24" i="30"/>
  <c r="C13" i="30"/>
  <c r="C12" i="30"/>
  <c r="C11" i="30"/>
  <c r="C9" i="30"/>
  <c r="C117" i="30"/>
  <c r="D117" i="30" s="1"/>
  <c r="C116" i="30"/>
  <c r="C115" i="30"/>
  <c r="C109" i="30"/>
  <c r="C131" i="30" s="1"/>
  <c r="C90" i="30"/>
  <c r="C91" i="30" s="1"/>
  <c r="C98" i="30" s="1"/>
  <c r="B50" i="30"/>
  <c r="B49" i="30"/>
  <c r="B48" i="30"/>
  <c r="C40" i="30"/>
  <c r="C34" i="30"/>
  <c r="C26" i="30"/>
  <c r="C15" i="30"/>
  <c r="D117" i="18"/>
  <c r="D116" i="18"/>
  <c r="D120" i="18"/>
  <c r="D119" i="18"/>
  <c r="D118" i="18"/>
  <c r="D116" i="29"/>
  <c r="D115" i="18"/>
  <c r="C107" i="18"/>
  <c r="C105" i="18"/>
  <c r="C97" i="18"/>
  <c r="C83" i="18"/>
  <c r="C82" i="18"/>
  <c r="C81" i="18"/>
  <c r="C80" i="18"/>
  <c r="C79" i="18"/>
  <c r="C78" i="18"/>
  <c r="C68" i="18"/>
  <c r="C67" i="18"/>
  <c r="C66" i="18"/>
  <c r="C50" i="18"/>
  <c r="C49" i="18"/>
  <c r="C48" i="18"/>
  <c r="C47" i="18"/>
  <c r="C46" i="18"/>
  <c r="D40" i="18"/>
  <c r="D39" i="18"/>
  <c r="D38" i="18"/>
  <c r="D37" i="18"/>
  <c r="D36" i="18"/>
  <c r="D35" i="18"/>
  <c r="D34" i="18"/>
  <c r="D33" i="18"/>
  <c r="D32" i="18"/>
  <c r="C25" i="18"/>
  <c r="C24" i="18"/>
  <c r="C15" i="18"/>
  <c r="C13" i="18"/>
  <c r="C12" i="18"/>
  <c r="C11" i="18"/>
  <c r="C9" i="18"/>
  <c r="C79" i="3"/>
  <c r="C83" i="3" s="1"/>
  <c r="C79" i="29"/>
  <c r="C83" i="29"/>
  <c r="C50" i="29"/>
  <c r="C49" i="29"/>
  <c r="C48" i="29"/>
  <c r="C47" i="29"/>
  <c r="C46" i="29"/>
  <c r="C25" i="29"/>
  <c r="D90" i="2"/>
  <c r="D120" i="29"/>
  <c r="D119" i="29"/>
  <c r="D118" i="29"/>
  <c r="D117" i="29"/>
  <c r="C117" i="29"/>
  <c r="C116" i="29"/>
  <c r="C115" i="29"/>
  <c r="D115" i="29" s="1"/>
  <c r="C107" i="29"/>
  <c r="C105" i="29"/>
  <c r="C109" i="29" s="1"/>
  <c r="C131" i="29" s="1"/>
  <c r="C90" i="29"/>
  <c r="C91" i="29" s="1"/>
  <c r="C98" i="29" s="1"/>
  <c r="C82" i="29"/>
  <c r="C81" i="29"/>
  <c r="C80" i="29"/>
  <c r="C78" i="29"/>
  <c r="C68" i="29"/>
  <c r="C67" i="29"/>
  <c r="C66" i="29"/>
  <c r="C69" i="29" s="1"/>
  <c r="C129" i="29" s="1"/>
  <c r="B50" i="29"/>
  <c r="B49" i="29"/>
  <c r="B48" i="29"/>
  <c r="C40" i="29"/>
  <c r="C34" i="29"/>
  <c r="C26" i="29"/>
  <c r="C24" i="29"/>
  <c r="C15" i="29"/>
  <c r="C13" i="29"/>
  <c r="C12" i="29"/>
  <c r="C11" i="29"/>
  <c r="C9" i="29"/>
  <c r="C16" i="29" s="1"/>
  <c r="C127" i="29" s="1"/>
  <c r="C69" i="18"/>
  <c r="C117" i="28"/>
  <c r="C116" i="28"/>
  <c r="C115" i="28"/>
  <c r="C91" i="28"/>
  <c r="C98" i="28" s="1"/>
  <c r="C90" i="28"/>
  <c r="C69" i="28"/>
  <c r="C129" i="28" s="1"/>
  <c r="B50" i="28"/>
  <c r="B49" i="28"/>
  <c r="B48" i="28"/>
  <c r="C51" i="28"/>
  <c r="C59" i="28" s="1"/>
  <c r="C40" i="28"/>
  <c r="C34" i="28"/>
  <c r="C15" i="28"/>
  <c r="C13" i="28"/>
  <c r="C12" i="28"/>
  <c r="C117" i="27"/>
  <c r="C116" i="27"/>
  <c r="C115" i="27"/>
  <c r="C109" i="27"/>
  <c r="C131" i="27" s="1"/>
  <c r="C98" i="27"/>
  <c r="C91" i="27"/>
  <c r="C90" i="27"/>
  <c r="B50" i="27"/>
  <c r="B49" i="27"/>
  <c r="B48" i="27"/>
  <c r="C34" i="27"/>
  <c r="C40" i="27" s="1"/>
  <c r="C26" i="27"/>
  <c r="C15" i="27"/>
  <c r="C13" i="27"/>
  <c r="C12" i="27"/>
  <c r="C16" i="27"/>
  <c r="C127" i="27" s="1"/>
  <c r="C117" i="26"/>
  <c r="C116" i="26"/>
  <c r="C115" i="26"/>
  <c r="C109" i="26"/>
  <c r="C131" i="26" s="1"/>
  <c r="C90" i="26"/>
  <c r="C91" i="26" s="1"/>
  <c r="C98" i="26" s="1"/>
  <c r="B50" i="26"/>
  <c r="B49" i="26"/>
  <c r="B48" i="26"/>
  <c r="C51" i="26"/>
  <c r="C59" i="26" s="1"/>
  <c r="C34" i="26"/>
  <c r="C40" i="26" s="1"/>
  <c r="C26" i="26"/>
  <c r="C13" i="26"/>
  <c r="C12" i="26"/>
  <c r="C117" i="25"/>
  <c r="C116" i="25"/>
  <c r="C115" i="25"/>
  <c r="C109" i="25"/>
  <c r="C131" i="25" s="1"/>
  <c r="C90" i="25"/>
  <c r="C91" i="25" s="1"/>
  <c r="C98" i="25" s="1"/>
  <c r="B50" i="25"/>
  <c r="B49" i="25"/>
  <c r="B48" i="25"/>
  <c r="C40" i="25"/>
  <c r="C34" i="25"/>
  <c r="C26" i="25"/>
  <c r="C15" i="25"/>
  <c r="C13" i="25"/>
  <c r="C12" i="25"/>
  <c r="C117" i="18"/>
  <c r="C116" i="18"/>
  <c r="C115" i="18"/>
  <c r="C90" i="18"/>
  <c r="C91" i="18" s="1"/>
  <c r="C98" i="18" s="1"/>
  <c r="C129" i="18"/>
  <c r="B50" i="18"/>
  <c r="B49" i="18"/>
  <c r="B48" i="18"/>
  <c r="C51" i="18"/>
  <c r="C59" i="18" s="1"/>
  <c r="C34" i="18"/>
  <c r="C40" i="18" s="1"/>
  <c r="D118" i="3"/>
  <c r="D119" i="3"/>
  <c r="D116" i="3"/>
  <c r="C667" i="2"/>
  <c r="C131" i="3"/>
  <c r="C129" i="3"/>
  <c r="C128" i="3"/>
  <c r="C127" i="3"/>
  <c r="D115" i="3"/>
  <c r="D120" i="3"/>
  <c r="D117" i="3"/>
  <c r="C82" i="3"/>
  <c r="C81" i="3"/>
  <c r="C80" i="3"/>
  <c r="C78" i="3"/>
  <c r="D514" i="2"/>
  <c r="B667" i="2"/>
  <c r="C117" i="3"/>
  <c r="C116" i="3"/>
  <c r="C115" i="3"/>
  <c r="C109" i="3"/>
  <c r="C107" i="3"/>
  <c r="C105" i="3"/>
  <c r="C98" i="3"/>
  <c r="C91" i="3"/>
  <c r="C90" i="3"/>
  <c r="C69" i="3"/>
  <c r="C67" i="3"/>
  <c r="B394" i="2"/>
  <c r="B393" i="2"/>
  <c r="D393" i="2"/>
  <c r="C68" i="3"/>
  <c r="C66" i="3"/>
  <c r="C34" i="3"/>
  <c r="C40" i="3" s="1"/>
  <c r="C50" i="3"/>
  <c r="B50" i="3"/>
  <c r="B49" i="3"/>
  <c r="B48" i="3"/>
  <c r="C49" i="3"/>
  <c r="C48" i="3"/>
  <c r="C47" i="3"/>
  <c r="C46" i="3"/>
  <c r="C25" i="3"/>
  <c r="C24" i="3"/>
  <c r="C15" i="3"/>
  <c r="C13" i="3"/>
  <c r="C12" i="3"/>
  <c r="C11" i="3"/>
  <c r="C9" i="3"/>
  <c r="J698" i="2"/>
  <c r="K698" i="2"/>
  <c r="I698" i="2"/>
  <c r="H698" i="2"/>
  <c r="C698" i="2"/>
  <c r="B698" i="2"/>
  <c r="K697" i="2"/>
  <c r="J697" i="2"/>
  <c r="K696" i="2"/>
  <c r="J696" i="2"/>
  <c r="I696" i="2"/>
  <c r="H696" i="2"/>
  <c r="G696" i="2"/>
  <c r="G697" i="2" s="1"/>
  <c r="G698" i="2" s="1"/>
  <c r="F696" i="2"/>
  <c r="E696" i="2"/>
  <c r="B696" i="2"/>
  <c r="K695" i="2"/>
  <c r="J695" i="2"/>
  <c r="I695" i="2"/>
  <c r="H695" i="2"/>
  <c r="G695" i="2"/>
  <c r="F695" i="2"/>
  <c r="E695" i="2"/>
  <c r="E697" i="2" s="1"/>
  <c r="E698" i="2" s="1"/>
  <c r="B695" i="2"/>
  <c r="K694" i="2"/>
  <c r="J694" i="2"/>
  <c r="I694" i="2"/>
  <c r="H694" i="2"/>
  <c r="G694" i="2"/>
  <c r="F694" i="2"/>
  <c r="E694" i="2"/>
  <c r="C694" i="2"/>
  <c r="K693" i="2"/>
  <c r="J693" i="2"/>
  <c r="I693" i="2"/>
  <c r="H693" i="2"/>
  <c r="G693" i="2"/>
  <c r="F693" i="2"/>
  <c r="E693" i="2"/>
  <c r="K692" i="2"/>
  <c r="J692" i="2"/>
  <c r="I692" i="2"/>
  <c r="H692" i="2"/>
  <c r="G692" i="2"/>
  <c r="F692" i="2"/>
  <c r="E692" i="2"/>
  <c r="K691" i="2"/>
  <c r="J691" i="2"/>
  <c r="I691" i="2"/>
  <c r="H691" i="2"/>
  <c r="G691" i="2"/>
  <c r="F691" i="2"/>
  <c r="E691" i="2"/>
  <c r="C691" i="2"/>
  <c r="B691" i="2"/>
  <c r="C669" i="2"/>
  <c r="C668" i="2"/>
  <c r="C675" i="2"/>
  <c r="C676" i="2"/>
  <c r="C642" i="2"/>
  <c r="D642" i="2" s="1"/>
  <c r="C655" i="2" s="1"/>
  <c r="C643" i="2"/>
  <c r="D643" i="2" s="1"/>
  <c r="C656" i="2" s="1"/>
  <c r="B629" i="2"/>
  <c r="F626" i="2"/>
  <c r="G626" i="2" s="1"/>
  <c r="E629" i="2"/>
  <c r="E628" i="2"/>
  <c r="F628" i="2" s="1"/>
  <c r="G628" i="2" s="1"/>
  <c r="E627" i="2"/>
  <c r="F627" i="2" s="1"/>
  <c r="G627" i="2" s="1"/>
  <c r="E625" i="2"/>
  <c r="F625" i="2" s="1"/>
  <c r="G625" i="2" s="1"/>
  <c r="E624" i="2"/>
  <c r="F624" i="2" s="1"/>
  <c r="F605" i="2"/>
  <c r="C605" i="2"/>
  <c r="D605" i="2" s="1"/>
  <c r="C604" i="2"/>
  <c r="D604" i="2" s="1"/>
  <c r="A605" i="2"/>
  <c r="A604" i="2"/>
  <c r="D562" i="2"/>
  <c r="B575" i="2" s="1"/>
  <c r="D575" i="2" s="1"/>
  <c r="C590" i="2" s="1"/>
  <c r="D563" i="2"/>
  <c r="B576" i="2" s="1"/>
  <c r="D576" i="2" s="1"/>
  <c r="C591" i="2" s="1"/>
  <c r="D564" i="2"/>
  <c r="B577" i="2" s="1"/>
  <c r="D577" i="2" s="1"/>
  <c r="C592" i="2" s="1"/>
  <c r="D565" i="2"/>
  <c r="B578" i="2" s="1"/>
  <c r="D578" i="2" s="1"/>
  <c r="C593" i="2" s="1"/>
  <c r="D566" i="2"/>
  <c r="B579" i="2" s="1"/>
  <c r="D579" i="2" s="1"/>
  <c r="C594" i="2" s="1"/>
  <c r="D567" i="2"/>
  <c r="B580" i="2" s="1"/>
  <c r="D580" i="2" s="1"/>
  <c r="C595" i="2" s="1"/>
  <c r="D568" i="2"/>
  <c r="B581" i="2" s="1"/>
  <c r="D581" i="2" s="1"/>
  <c r="C596" i="2" s="1"/>
  <c r="D569" i="2"/>
  <c r="B582" i="2" s="1"/>
  <c r="D582" i="2" s="1"/>
  <c r="C597" i="2" s="1"/>
  <c r="D570" i="2"/>
  <c r="B583" i="2" s="1"/>
  <c r="D583" i="2" s="1"/>
  <c r="C598" i="2" s="1"/>
  <c r="D561" i="2"/>
  <c r="B574" i="2" s="1"/>
  <c r="E497" i="2"/>
  <c r="C514" i="2" s="1"/>
  <c r="G498" i="2"/>
  <c r="G501" i="2"/>
  <c r="G503" i="2"/>
  <c r="G504" i="2"/>
  <c r="G505" i="2"/>
  <c r="G508" i="2"/>
  <c r="F507" i="2"/>
  <c r="G507" i="2" s="1"/>
  <c r="F506" i="2"/>
  <c r="G506" i="2" s="1"/>
  <c r="F502" i="2"/>
  <c r="G502" i="2" s="1"/>
  <c r="F500" i="2"/>
  <c r="G500" i="2" s="1"/>
  <c r="F499" i="2"/>
  <c r="G499" i="2" s="1"/>
  <c r="F497" i="2"/>
  <c r="G497" i="2" s="1"/>
  <c r="C464" i="2"/>
  <c r="C465" i="2"/>
  <c r="C466" i="2"/>
  <c r="C467" i="2"/>
  <c r="C468" i="2"/>
  <c r="C469" i="2"/>
  <c r="C470" i="2"/>
  <c r="C471" i="2"/>
  <c r="C472" i="2"/>
  <c r="C473" i="2"/>
  <c r="B357" i="2"/>
  <c r="C438" i="2" s="1"/>
  <c r="B356" i="2"/>
  <c r="C397" i="2" s="1"/>
  <c r="F333" i="2"/>
  <c r="F325" i="2"/>
  <c r="F326" i="2"/>
  <c r="F327" i="2"/>
  <c r="F328" i="2"/>
  <c r="F329" i="2"/>
  <c r="F330" i="2"/>
  <c r="F331" i="2"/>
  <c r="F332" i="2"/>
  <c r="E325" i="2"/>
  <c r="E326" i="2"/>
  <c r="E327" i="2"/>
  <c r="E328" i="2"/>
  <c r="E329" i="2"/>
  <c r="E330" i="2"/>
  <c r="E331" i="2"/>
  <c r="E332" i="2"/>
  <c r="E333" i="2"/>
  <c r="D325" i="2"/>
  <c r="D326" i="2"/>
  <c r="D327" i="2"/>
  <c r="D328" i="2"/>
  <c r="D329" i="2"/>
  <c r="D330" i="2"/>
  <c r="D331" i="2"/>
  <c r="D332" i="2"/>
  <c r="D333" i="2"/>
  <c r="F324" i="2"/>
  <c r="E324" i="2"/>
  <c r="D324" i="2"/>
  <c r="B271" i="2"/>
  <c r="C271" i="2" s="1"/>
  <c r="B284" i="2" s="1"/>
  <c r="D284" i="2" s="1"/>
  <c r="C297" i="2" s="1"/>
  <c r="B272" i="2"/>
  <c r="C272" i="2" s="1"/>
  <c r="B285" i="2" s="1"/>
  <c r="D285" i="2" s="1"/>
  <c r="C298" i="2" s="1"/>
  <c r="B273" i="2"/>
  <c r="C273" i="2" s="1"/>
  <c r="B286" i="2" s="1"/>
  <c r="D286" i="2" s="1"/>
  <c r="C299" i="2" s="1"/>
  <c r="B274" i="2"/>
  <c r="C274" i="2" s="1"/>
  <c r="B287" i="2" s="1"/>
  <c r="D287" i="2" s="1"/>
  <c r="C300" i="2" s="1"/>
  <c r="B275" i="2"/>
  <c r="C275" i="2" s="1"/>
  <c r="B301" i="2" s="1"/>
  <c r="B276" i="2"/>
  <c r="C276" i="2" s="1"/>
  <c r="B289" i="2" s="1"/>
  <c r="D289" i="2" s="1"/>
  <c r="C302" i="2" s="1"/>
  <c r="B277" i="2"/>
  <c r="C277" i="2" s="1"/>
  <c r="B290" i="2" s="1"/>
  <c r="D290" i="2" s="1"/>
  <c r="C303" i="2" s="1"/>
  <c r="B278" i="2"/>
  <c r="C278" i="2" s="1"/>
  <c r="B291" i="2" s="1"/>
  <c r="D291" i="2" s="1"/>
  <c r="C304" i="2" s="1"/>
  <c r="B279" i="2"/>
  <c r="C279" i="2" s="1"/>
  <c r="B292" i="2" s="1"/>
  <c r="D292" i="2" s="1"/>
  <c r="C305" i="2" s="1"/>
  <c r="B270" i="2"/>
  <c r="C270" i="2" s="1"/>
  <c r="B283" i="2" s="1"/>
  <c r="D283" i="2" s="1"/>
  <c r="C296" i="2" s="1"/>
  <c r="E231" i="2"/>
  <c r="B257" i="2" s="1"/>
  <c r="E232" i="2"/>
  <c r="B258" i="2" s="1"/>
  <c r="E233" i="2"/>
  <c r="B259" i="2" s="1"/>
  <c r="E234" i="2"/>
  <c r="B260" i="2" s="1"/>
  <c r="E235" i="2"/>
  <c r="B261" i="2" s="1"/>
  <c r="E236" i="2"/>
  <c r="B262" i="2" s="1"/>
  <c r="E237" i="2"/>
  <c r="B263" i="2" s="1"/>
  <c r="E238" i="2"/>
  <c r="B264" i="2" s="1"/>
  <c r="E239" i="2"/>
  <c r="B265" i="2" s="1"/>
  <c r="E230" i="2"/>
  <c r="B256" i="2" s="1"/>
  <c r="C202" i="2"/>
  <c r="C203" i="2"/>
  <c r="C204" i="2"/>
  <c r="C205" i="2"/>
  <c r="C206" i="2"/>
  <c r="C207" i="2"/>
  <c r="C208" i="2"/>
  <c r="C209" i="2"/>
  <c r="C210" i="2"/>
  <c r="C189" i="2"/>
  <c r="C190" i="2"/>
  <c r="C191" i="2"/>
  <c r="C192" i="2"/>
  <c r="C193" i="2"/>
  <c r="C194" i="2"/>
  <c r="C195" i="2"/>
  <c r="C196" i="2"/>
  <c r="C197" i="2"/>
  <c r="C188" i="2"/>
  <c r="D148" i="2"/>
  <c r="D149" i="2"/>
  <c r="D150" i="2"/>
  <c r="D151" i="2"/>
  <c r="D152" i="2"/>
  <c r="D153" i="2"/>
  <c r="D154" i="2"/>
  <c r="D155" i="2"/>
  <c r="D156" i="2"/>
  <c r="C148" i="2"/>
  <c r="C149" i="2"/>
  <c r="C150" i="2"/>
  <c r="C151" i="2"/>
  <c r="C152" i="2"/>
  <c r="C153" i="2"/>
  <c r="C154" i="2"/>
  <c r="C155" i="2"/>
  <c r="C156" i="2"/>
  <c r="C135" i="2"/>
  <c r="C136" i="2"/>
  <c r="C137" i="2"/>
  <c r="C138" i="2"/>
  <c r="C139" i="2"/>
  <c r="C140" i="2"/>
  <c r="C141" i="2"/>
  <c r="C142" i="2"/>
  <c r="C143" i="2"/>
  <c r="C122" i="2"/>
  <c r="C123" i="2"/>
  <c r="C124" i="2"/>
  <c r="C125" i="2"/>
  <c r="C126" i="2"/>
  <c r="C127" i="2"/>
  <c r="C128" i="2"/>
  <c r="C129" i="2"/>
  <c r="C130" i="2"/>
  <c r="C121" i="2"/>
  <c r="C111" i="2"/>
  <c r="H80" i="2"/>
  <c r="I80" i="2" s="1"/>
  <c r="C80" i="2" s="1"/>
  <c r="D77" i="2"/>
  <c r="D76" i="2"/>
  <c r="D78" i="2"/>
  <c r="D79" i="2"/>
  <c r="D80" i="2"/>
  <c r="D81" i="2"/>
  <c r="D82" i="2"/>
  <c r="D83" i="2"/>
  <c r="D84" i="2"/>
  <c r="C77" i="2"/>
  <c r="C76" i="2"/>
  <c r="C78" i="2"/>
  <c r="C79" i="2"/>
  <c r="C81" i="2"/>
  <c r="C82" i="2"/>
  <c r="C83" i="2"/>
  <c r="C84" i="2"/>
  <c r="C75" i="2"/>
  <c r="D75" i="2"/>
  <c r="C65" i="2"/>
  <c r="C64" i="2"/>
  <c r="C62" i="2"/>
  <c r="C61" i="2"/>
  <c r="C70" i="2"/>
  <c r="C69" i="2"/>
  <c r="C68" i="2"/>
  <c r="C67" i="2"/>
  <c r="C66" i="2"/>
  <c r="C63" i="2"/>
  <c r="B45" i="2"/>
  <c r="B46" i="2"/>
  <c r="B47" i="2"/>
  <c r="B48" i="2"/>
  <c r="B49" i="2"/>
  <c r="B50" i="2"/>
  <c r="B51" i="2"/>
  <c r="B52" i="2"/>
  <c r="B53" i="2"/>
  <c r="B44" i="2"/>
  <c r="C45" i="2"/>
  <c r="B19" i="2"/>
  <c r="B35" i="2" s="1"/>
  <c r="C35" i="2" s="1"/>
  <c r="B18" i="2"/>
  <c r="B34" i="2" s="1"/>
  <c r="D34" i="2" s="1"/>
  <c r="C110" i="2" s="1"/>
  <c r="B17" i="2"/>
  <c r="B33" i="2" s="1"/>
  <c r="D33" i="2" s="1"/>
  <c r="C109" i="2" s="1"/>
  <c r="B16" i="2"/>
  <c r="B32" i="2" s="1"/>
  <c r="D32" i="2" s="1"/>
  <c r="C108" i="2" s="1"/>
  <c r="B15" i="2"/>
  <c r="B31" i="2" s="1"/>
  <c r="D31" i="2" s="1"/>
  <c r="C107" i="2" s="1"/>
  <c r="B14" i="2"/>
  <c r="B30" i="2" s="1"/>
  <c r="D30" i="2" s="1"/>
  <c r="C106" i="2" s="1"/>
  <c r="B13" i="2"/>
  <c r="B29" i="2" s="1"/>
  <c r="D29" i="2" s="1"/>
  <c r="C105" i="2" s="1"/>
  <c r="B21" i="2"/>
  <c r="B37" i="2" s="1"/>
  <c r="D37" i="2" s="1"/>
  <c r="C113" i="2" s="1"/>
  <c r="B20" i="2"/>
  <c r="B36" i="2" s="1"/>
  <c r="D36" i="2" s="1"/>
  <c r="C112" i="2" s="1"/>
  <c r="B12" i="2"/>
  <c r="B28" i="2" s="1"/>
  <c r="D121" i="28" l="1"/>
  <c r="C133" i="28" s="1"/>
  <c r="C109" i="28"/>
  <c r="C131" i="28" s="1"/>
  <c r="C16" i="28"/>
  <c r="C127" i="28" s="1"/>
  <c r="D121" i="27"/>
  <c r="C133" i="27" s="1"/>
  <c r="D121" i="26"/>
  <c r="C133" i="26" s="1"/>
  <c r="C69" i="26"/>
  <c r="C129" i="26" s="1"/>
  <c r="C16" i="26"/>
  <c r="C127" i="26" s="1"/>
  <c r="D121" i="25"/>
  <c r="C133" i="25" s="1"/>
  <c r="C69" i="25"/>
  <c r="C129" i="25" s="1"/>
  <c r="C51" i="25"/>
  <c r="C59" i="25" s="1"/>
  <c r="C16" i="25"/>
  <c r="C127" i="25" s="1"/>
  <c r="D121" i="32"/>
  <c r="C133" i="32" s="1"/>
  <c r="C57" i="32"/>
  <c r="D35" i="32"/>
  <c r="D34" i="32"/>
  <c r="D33" i="32"/>
  <c r="D39" i="32"/>
  <c r="D32" i="32"/>
  <c r="D36" i="32"/>
  <c r="D38" i="32"/>
  <c r="D37" i="32"/>
  <c r="C83" i="32"/>
  <c r="C84" i="32" s="1"/>
  <c r="C97" i="32" s="1"/>
  <c r="C99" i="32" s="1"/>
  <c r="C130" i="32" s="1"/>
  <c r="D121" i="31"/>
  <c r="C133" i="31" s="1"/>
  <c r="C69" i="31"/>
  <c r="C129" i="31" s="1"/>
  <c r="C51" i="31"/>
  <c r="C59" i="31" s="1"/>
  <c r="C26" i="31"/>
  <c r="D38" i="31" s="1"/>
  <c r="C16" i="31"/>
  <c r="C127" i="31" s="1"/>
  <c r="C83" i="31"/>
  <c r="C84" i="31" s="1"/>
  <c r="C97" i="31" s="1"/>
  <c r="C99" i="31" s="1"/>
  <c r="C130" i="31" s="1"/>
  <c r="C133" i="30"/>
  <c r="C51" i="30"/>
  <c r="C59" i="30" s="1"/>
  <c r="C16" i="30"/>
  <c r="C127" i="30" s="1"/>
  <c r="C57" i="30"/>
  <c r="C83" i="30"/>
  <c r="C84" i="30" s="1"/>
  <c r="C97" i="30" s="1"/>
  <c r="C99" i="30" s="1"/>
  <c r="C130" i="30" s="1"/>
  <c r="D121" i="29"/>
  <c r="C133" i="29" s="1"/>
  <c r="C16" i="18"/>
  <c r="C127" i="18" s="1"/>
  <c r="C51" i="29"/>
  <c r="C59" i="29" s="1"/>
  <c r="C26" i="18"/>
  <c r="C84" i="29"/>
  <c r="C97" i="29" s="1"/>
  <c r="C99" i="29" s="1"/>
  <c r="C130" i="29" s="1"/>
  <c r="C57" i="29"/>
  <c r="D35" i="29"/>
  <c r="D34" i="29"/>
  <c r="D38" i="29"/>
  <c r="D33" i="29"/>
  <c r="D36" i="29"/>
  <c r="D39" i="29"/>
  <c r="D32" i="29"/>
  <c r="D37" i="29"/>
  <c r="D121" i="18"/>
  <c r="C133" i="18" s="1"/>
  <c r="C109" i="18"/>
  <c r="C131" i="18" s="1"/>
  <c r="C57" i="28"/>
  <c r="D35" i="28"/>
  <c r="D34" i="28"/>
  <c r="D33" i="28"/>
  <c r="D39" i="28"/>
  <c r="D32" i="28"/>
  <c r="D38" i="28"/>
  <c r="D37" i="28"/>
  <c r="D36" i="28"/>
  <c r="C83" i="28"/>
  <c r="C84" i="28" s="1"/>
  <c r="C97" i="28" s="1"/>
  <c r="C99" i="28" s="1"/>
  <c r="C130" i="28" s="1"/>
  <c r="C57" i="27"/>
  <c r="D35" i="27"/>
  <c r="D37" i="27"/>
  <c r="D34" i="27"/>
  <c r="D33" i="27"/>
  <c r="D39" i="27"/>
  <c r="D32" i="27"/>
  <c r="D38" i="27"/>
  <c r="D36" i="27"/>
  <c r="C84" i="27"/>
  <c r="C97" i="27" s="1"/>
  <c r="C99" i="27" s="1"/>
  <c r="C130" i="27" s="1"/>
  <c r="C57" i="26"/>
  <c r="D35" i="26"/>
  <c r="D34" i="26"/>
  <c r="D33" i="26"/>
  <c r="D38" i="26"/>
  <c r="D39" i="26"/>
  <c r="D32" i="26"/>
  <c r="D37" i="26"/>
  <c r="D36" i="26"/>
  <c r="C83" i="26"/>
  <c r="C84" i="26" s="1"/>
  <c r="C97" i="26" s="1"/>
  <c r="C99" i="26" s="1"/>
  <c r="C130" i="26" s="1"/>
  <c r="C57" i="25"/>
  <c r="D35" i="25"/>
  <c r="D34" i="25"/>
  <c r="D32" i="25"/>
  <c r="D39" i="25"/>
  <c r="D33" i="25"/>
  <c r="D38" i="25"/>
  <c r="D36" i="25"/>
  <c r="D37" i="25"/>
  <c r="C83" i="25"/>
  <c r="C84" i="25" s="1"/>
  <c r="C97" i="25" s="1"/>
  <c r="C99" i="25" s="1"/>
  <c r="C130" i="25" s="1"/>
  <c r="C57" i="18"/>
  <c r="D121" i="3"/>
  <c r="C133" i="3" s="1"/>
  <c r="C84" i="3"/>
  <c r="C97" i="3" s="1"/>
  <c r="C99" i="3" s="1"/>
  <c r="C130" i="3" s="1"/>
  <c r="C132" i="3" s="1"/>
  <c r="C51" i="3"/>
  <c r="C59" i="3" s="1"/>
  <c r="C26" i="3"/>
  <c r="C16" i="3"/>
  <c r="I697" i="2"/>
  <c r="H697" i="2"/>
  <c r="F697" i="2"/>
  <c r="F698" i="2" s="1"/>
  <c r="C674" i="2"/>
  <c r="C673" i="2"/>
  <c r="C672" i="2"/>
  <c r="C671" i="2"/>
  <c r="C670" i="2"/>
  <c r="F629" i="2"/>
  <c r="G629" i="2" s="1"/>
  <c r="B634" i="2"/>
  <c r="B641" i="2" s="1"/>
  <c r="B635" i="2"/>
  <c r="B637" i="2"/>
  <c r="B640" i="2"/>
  <c r="C640" i="2" s="1"/>
  <c r="D640" i="2" s="1"/>
  <c r="C653" i="2" s="1"/>
  <c r="G624" i="2"/>
  <c r="D606" i="2"/>
  <c r="B613" i="2" s="1"/>
  <c r="C613" i="2" s="1"/>
  <c r="B649" i="2" s="1"/>
  <c r="B514" i="2"/>
  <c r="C437" i="2"/>
  <c r="C444" i="2"/>
  <c r="C436" i="2"/>
  <c r="C443" i="2"/>
  <c r="C442" i="2"/>
  <c r="C441" i="2"/>
  <c r="C440" i="2"/>
  <c r="C439" i="2"/>
  <c r="C394" i="2"/>
  <c r="C401" i="2"/>
  <c r="C402" i="2"/>
  <c r="C399" i="2"/>
  <c r="C398" i="2"/>
  <c r="C396" i="2"/>
  <c r="C395" i="2"/>
  <c r="C400" i="2"/>
  <c r="C393" i="2"/>
  <c r="B360" i="2"/>
  <c r="B299" i="2"/>
  <c r="D299" i="2" s="1"/>
  <c r="C327" i="2" s="1"/>
  <c r="B288" i="2"/>
  <c r="D288" i="2" s="1"/>
  <c r="C301" i="2" s="1"/>
  <c r="B305" i="2"/>
  <c r="B300" i="2"/>
  <c r="B298" i="2"/>
  <c r="D298" i="2" s="1"/>
  <c r="C326" i="2" s="1"/>
  <c r="B297" i="2"/>
  <c r="D297" i="2" s="1"/>
  <c r="C325" i="2" s="1"/>
  <c r="B296" i="2"/>
  <c r="B304" i="2"/>
  <c r="B303" i="2"/>
  <c r="D303" i="2" s="1"/>
  <c r="C331" i="2" s="1"/>
  <c r="B302" i="2"/>
  <c r="D302" i="2" s="1"/>
  <c r="C330" i="2" s="1"/>
  <c r="B246" i="2"/>
  <c r="E246" i="2" s="1"/>
  <c r="C259" i="2" s="1"/>
  <c r="D259" i="2" s="1"/>
  <c r="B327" i="2" s="1"/>
  <c r="B249" i="2"/>
  <c r="E249" i="2" s="1"/>
  <c r="C262" i="2" s="1"/>
  <c r="D262" i="2" s="1"/>
  <c r="B330" i="2" s="1"/>
  <c r="B248" i="2"/>
  <c r="E248" i="2" s="1"/>
  <c r="C261" i="2" s="1"/>
  <c r="D261" i="2" s="1"/>
  <c r="B329" i="2" s="1"/>
  <c r="B247" i="2"/>
  <c r="E247" i="2" s="1"/>
  <c r="C260" i="2" s="1"/>
  <c r="D260" i="2" s="1"/>
  <c r="B328" i="2" s="1"/>
  <c r="B252" i="2"/>
  <c r="E252" i="2" s="1"/>
  <c r="C265" i="2" s="1"/>
  <c r="D265" i="2" s="1"/>
  <c r="B333" i="2" s="1"/>
  <c r="B244" i="2"/>
  <c r="E244" i="2" s="1"/>
  <c r="C257" i="2" s="1"/>
  <c r="D257" i="2" s="1"/>
  <c r="B325" i="2" s="1"/>
  <c r="B245" i="2"/>
  <c r="E245" i="2" s="1"/>
  <c r="C258" i="2" s="1"/>
  <c r="D258" i="2" s="1"/>
  <c r="B326" i="2" s="1"/>
  <c r="B251" i="2"/>
  <c r="E251" i="2" s="1"/>
  <c r="C264" i="2" s="1"/>
  <c r="D264" i="2" s="1"/>
  <c r="B332" i="2" s="1"/>
  <c r="B250" i="2"/>
  <c r="E250" i="2" s="1"/>
  <c r="C263" i="2" s="1"/>
  <c r="D263" i="2" s="1"/>
  <c r="B331" i="2" s="1"/>
  <c r="B243" i="2"/>
  <c r="B110" i="2"/>
  <c r="B111" i="2"/>
  <c r="B105" i="2"/>
  <c r="B108" i="2"/>
  <c r="B109" i="2"/>
  <c r="B107" i="2"/>
  <c r="B104" i="2"/>
  <c r="B106" i="2"/>
  <c r="B113" i="2"/>
  <c r="B112" i="2"/>
  <c r="D45" i="2"/>
  <c r="C46" i="2"/>
  <c r="D46" i="2" s="1"/>
  <c r="D40" i="27" l="1"/>
  <c r="C58" i="27" s="1"/>
  <c r="D40" i="26"/>
  <c r="C58" i="26" s="1"/>
  <c r="D40" i="32"/>
  <c r="C58" i="32" s="1"/>
  <c r="C60" i="32" s="1"/>
  <c r="C128" i="32" s="1"/>
  <c r="C132" i="32" s="1"/>
  <c r="C134" i="32" s="1"/>
  <c r="D40" i="31"/>
  <c r="C58" i="31" s="1"/>
  <c r="C60" i="31" s="1"/>
  <c r="C128" i="31" s="1"/>
  <c r="C132" i="31" s="1"/>
  <c r="C134" i="31" s="1"/>
  <c r="D39" i="31"/>
  <c r="D36" i="31"/>
  <c r="C57" i="31"/>
  <c r="C58" i="30"/>
  <c r="C60" i="30" s="1"/>
  <c r="C128" i="30" s="1"/>
  <c r="C132" i="30" s="1"/>
  <c r="C134" i="30" s="1"/>
  <c r="C134" i="3"/>
  <c r="D40" i="29"/>
  <c r="C58" i="29" s="1"/>
  <c r="C60" i="29" s="1"/>
  <c r="C128" i="29" s="1"/>
  <c r="C132" i="29" s="1"/>
  <c r="C134" i="29" s="1"/>
  <c r="D40" i="28"/>
  <c r="C58" i="28" s="1"/>
  <c r="C60" i="28"/>
  <c r="C128" i="28" s="1"/>
  <c r="C132" i="28" s="1"/>
  <c r="C134" i="28" s="1"/>
  <c r="C60" i="27"/>
  <c r="C128" i="27" s="1"/>
  <c r="C132" i="27" s="1"/>
  <c r="C134" i="27" s="1"/>
  <c r="C60" i="26"/>
  <c r="C128" i="26" s="1"/>
  <c r="C132" i="26" s="1"/>
  <c r="C134" i="26" s="1"/>
  <c r="D40" i="25"/>
  <c r="C58" i="25" s="1"/>
  <c r="C60" i="25" s="1"/>
  <c r="C128" i="25" s="1"/>
  <c r="C132" i="25" s="1"/>
  <c r="C134" i="25" s="1"/>
  <c r="C58" i="18"/>
  <c r="C60" i="18" s="1"/>
  <c r="C128" i="18" s="1"/>
  <c r="D38" i="3"/>
  <c r="C57" i="3"/>
  <c r="D39" i="3"/>
  <c r="D33" i="3"/>
  <c r="D32" i="3"/>
  <c r="D34" i="3"/>
  <c r="D35" i="3"/>
  <c r="D36" i="3"/>
  <c r="D37" i="3"/>
  <c r="F630" i="2"/>
  <c r="G630" i="2"/>
  <c r="B612" i="2"/>
  <c r="C612" i="2" s="1"/>
  <c r="B648" i="2" s="1"/>
  <c r="C641" i="2"/>
  <c r="D641" i="2" s="1"/>
  <c r="C654" i="2" s="1"/>
  <c r="C634" i="2"/>
  <c r="D634" i="2" s="1"/>
  <c r="C647" i="2" s="1"/>
  <c r="B636" i="2"/>
  <c r="C636" i="2" s="1"/>
  <c r="D636" i="2" s="1"/>
  <c r="C649" i="2" s="1"/>
  <c r="D649" i="2" s="1"/>
  <c r="B618" i="2"/>
  <c r="C618" i="2" s="1"/>
  <c r="B654" i="2" s="1"/>
  <c r="B616" i="2"/>
  <c r="C616" i="2" s="1"/>
  <c r="B652" i="2" s="1"/>
  <c r="B620" i="2"/>
  <c r="C620" i="2" s="1"/>
  <c r="B656" i="2" s="1"/>
  <c r="D656" i="2" s="1"/>
  <c r="B619" i="2"/>
  <c r="C619" i="2" s="1"/>
  <c r="B655" i="2" s="1"/>
  <c r="D655" i="2" s="1"/>
  <c r="B615" i="2"/>
  <c r="C615" i="2" s="1"/>
  <c r="B651" i="2" s="1"/>
  <c r="B614" i="2"/>
  <c r="C614" i="2" s="1"/>
  <c r="B650" i="2" s="1"/>
  <c r="B617" i="2"/>
  <c r="C617" i="2" s="1"/>
  <c r="B653" i="2" s="1"/>
  <c r="D653" i="2" s="1"/>
  <c r="B611" i="2"/>
  <c r="C611" i="2" s="1"/>
  <c r="B647" i="2" s="1"/>
  <c r="C637" i="2"/>
  <c r="D637" i="2" s="1"/>
  <c r="C650" i="2" s="1"/>
  <c r="B638" i="2"/>
  <c r="G330" i="2"/>
  <c r="D345" i="2" s="1"/>
  <c r="G331" i="2"/>
  <c r="D346" i="2" s="1"/>
  <c r="G327" i="2"/>
  <c r="D342" i="2" s="1"/>
  <c r="G326" i="2"/>
  <c r="D341" i="2" s="1"/>
  <c r="G325" i="2"/>
  <c r="D340" i="2" s="1"/>
  <c r="B63" i="2"/>
  <c r="E63" i="2" s="1"/>
  <c r="B90" i="2" s="1"/>
  <c r="D106" i="2"/>
  <c r="B62" i="2"/>
  <c r="E62" i="2" s="1"/>
  <c r="B89" i="2" s="1"/>
  <c r="D105" i="2"/>
  <c r="B76" i="2"/>
  <c r="E76" i="2" s="1"/>
  <c r="C89" i="2" s="1"/>
  <c r="B77" i="2"/>
  <c r="E77" i="2" s="1"/>
  <c r="C90" i="2" s="1"/>
  <c r="C47" i="2"/>
  <c r="D40" i="3" l="1"/>
  <c r="C58" i="3" s="1"/>
  <c r="C60" i="3" s="1"/>
  <c r="D650" i="2"/>
  <c r="D654" i="2"/>
  <c r="D647" i="2"/>
  <c r="C635" i="2"/>
  <c r="D635" i="2" s="1"/>
  <c r="C648" i="2" s="1"/>
  <c r="D648" i="2" s="1"/>
  <c r="B639" i="2"/>
  <c r="C639" i="2" s="1"/>
  <c r="D639" i="2" s="1"/>
  <c r="C652" i="2" s="1"/>
  <c r="D652" i="2" s="1"/>
  <c r="C638" i="2"/>
  <c r="D638" i="2" s="1"/>
  <c r="C651" i="2" s="1"/>
  <c r="D651" i="2" s="1"/>
  <c r="D89" i="2"/>
  <c r="E105" i="2" s="1"/>
  <c r="G105" i="2" s="1"/>
  <c r="E106" i="2"/>
  <c r="G106" i="2" s="1"/>
  <c r="D691" i="2" s="1"/>
  <c r="C48" i="2"/>
  <c r="D47" i="2"/>
  <c r="D107" i="2" s="1"/>
  <c r="D44" i="2"/>
  <c r="B148" i="2" l="1"/>
  <c r="E148" i="2" s="1"/>
  <c r="B149" i="2"/>
  <c r="E149" i="2" s="1"/>
  <c r="B122" i="2"/>
  <c r="D122" i="2" s="1"/>
  <c r="B135" i="2"/>
  <c r="D135" i="2" s="1"/>
  <c r="B123" i="2"/>
  <c r="D123" i="2" s="1"/>
  <c r="B136" i="2"/>
  <c r="D136" i="2" s="1"/>
  <c r="B64" i="2"/>
  <c r="E64" i="2" s="1"/>
  <c r="B91" i="2" s="1"/>
  <c r="B78" i="2"/>
  <c r="E78" i="2" s="1"/>
  <c r="C91" i="2" s="1"/>
  <c r="C49" i="2"/>
  <c r="D48" i="2"/>
  <c r="D108" i="2" s="1"/>
  <c r="B61" i="2"/>
  <c r="E61" i="2" s="1"/>
  <c r="B88" i="2" s="1"/>
  <c r="B75" i="2"/>
  <c r="E75" i="2" s="1"/>
  <c r="C88" i="2" s="1"/>
  <c r="B162" i="2" l="1"/>
  <c r="B453" i="2"/>
  <c r="C162" i="2"/>
  <c r="C453" i="2"/>
  <c r="C161" i="2"/>
  <c r="C452" i="2"/>
  <c r="B161" i="2"/>
  <c r="B452" i="2"/>
  <c r="D162" i="2"/>
  <c r="D453" i="2"/>
  <c r="D161" i="2"/>
  <c r="D452" i="2"/>
  <c r="D91" i="2"/>
  <c r="E107" i="2" s="1"/>
  <c r="G107" i="2" s="1"/>
  <c r="B65" i="2"/>
  <c r="E65" i="2" s="1"/>
  <c r="B92" i="2" s="1"/>
  <c r="B79" i="2"/>
  <c r="E79" i="2" s="1"/>
  <c r="C92" i="2" s="1"/>
  <c r="C50" i="2"/>
  <c r="D49" i="2"/>
  <c r="D109" i="2" s="1"/>
  <c r="D88" i="2"/>
  <c r="E104" i="2" s="1"/>
  <c r="C684" i="2"/>
  <c r="C685" i="2" s="1"/>
  <c r="E162" i="2" l="1"/>
  <c r="B341" i="2" s="1"/>
  <c r="E452" i="2"/>
  <c r="B465" i="2" s="1"/>
  <c r="D465" i="2" s="1"/>
  <c r="D480" i="2" s="1"/>
  <c r="E161" i="2"/>
  <c r="B340" i="2" s="1"/>
  <c r="E453" i="2"/>
  <c r="B466" i="2" s="1"/>
  <c r="D466" i="2" s="1"/>
  <c r="D481" i="2" s="1"/>
  <c r="B150" i="2"/>
  <c r="E150" i="2" s="1"/>
  <c r="B124" i="2"/>
  <c r="D124" i="2" s="1"/>
  <c r="B137" i="2"/>
  <c r="D137" i="2" s="1"/>
  <c r="D92" i="2"/>
  <c r="E108" i="2" s="1"/>
  <c r="G108" i="2" s="1"/>
  <c r="B66" i="2"/>
  <c r="E66" i="2" s="1"/>
  <c r="B93" i="2" s="1"/>
  <c r="B80" i="2"/>
  <c r="E80" i="2" s="1"/>
  <c r="C93" i="2" s="1"/>
  <c r="C51" i="2"/>
  <c r="D50" i="2"/>
  <c r="D110" i="2" s="1"/>
  <c r="B184" i="2"/>
  <c r="B203" i="2" l="1"/>
  <c r="D203" i="2" s="1"/>
  <c r="B424" i="2" s="1"/>
  <c r="D424" i="2" s="1"/>
  <c r="B190" i="2"/>
  <c r="D190" i="2" s="1"/>
  <c r="B216" i="2" s="1"/>
  <c r="B202" i="2"/>
  <c r="D202" i="2" s="1"/>
  <c r="B423" i="2" s="1"/>
  <c r="D423" i="2" s="1"/>
  <c r="B189" i="2"/>
  <c r="D189" i="2" s="1"/>
  <c r="B215" i="2" s="1"/>
  <c r="B163" i="2"/>
  <c r="B454" i="2"/>
  <c r="C163" i="2"/>
  <c r="C454" i="2"/>
  <c r="D163" i="2"/>
  <c r="D454" i="2"/>
  <c r="B151" i="2"/>
  <c r="E151" i="2" s="1"/>
  <c r="B125" i="2"/>
  <c r="D125" i="2" s="1"/>
  <c r="B138" i="2"/>
  <c r="D138" i="2" s="1"/>
  <c r="D93" i="2"/>
  <c r="E109" i="2" s="1"/>
  <c r="G109" i="2" s="1"/>
  <c r="B67" i="2"/>
  <c r="E67" i="2" s="1"/>
  <c r="B94" i="2" s="1"/>
  <c r="B81" i="2"/>
  <c r="E81" i="2" s="1"/>
  <c r="C94" i="2" s="1"/>
  <c r="C52" i="2"/>
  <c r="D51" i="2"/>
  <c r="D111" i="2" s="1"/>
  <c r="E243" i="2"/>
  <c r="C256" i="2" s="1"/>
  <c r="C201" i="2"/>
  <c r="C216" i="2" l="1"/>
  <c r="D216" i="2" s="1"/>
  <c r="C341" i="2" s="1"/>
  <c r="E341" i="2" s="1"/>
  <c r="D692" i="2" s="1"/>
  <c r="B382" i="2"/>
  <c r="D382" i="2" s="1"/>
  <c r="C215" i="2"/>
  <c r="D215" i="2" s="1"/>
  <c r="C340" i="2" s="1"/>
  <c r="E340" i="2" s="1"/>
  <c r="B381" i="2"/>
  <c r="D381" i="2" s="1"/>
  <c r="E163" i="2"/>
  <c r="B342" i="2" s="1"/>
  <c r="C164" i="2"/>
  <c r="C455" i="2"/>
  <c r="B164" i="2"/>
  <c r="B455" i="2"/>
  <c r="D164" i="2"/>
  <c r="D455" i="2"/>
  <c r="E454" i="2"/>
  <c r="B467" i="2" s="1"/>
  <c r="D467" i="2" s="1"/>
  <c r="D482" i="2" s="1"/>
  <c r="B152" i="2"/>
  <c r="E152" i="2" s="1"/>
  <c r="B126" i="2"/>
  <c r="D126" i="2" s="1"/>
  <c r="B139" i="2"/>
  <c r="D139" i="2" s="1"/>
  <c r="D94" i="2"/>
  <c r="E110" i="2" s="1"/>
  <c r="G110" i="2" s="1"/>
  <c r="B68" i="2"/>
  <c r="E68" i="2" s="1"/>
  <c r="B95" i="2" s="1"/>
  <c r="B82" i="2"/>
  <c r="E82" i="2" s="1"/>
  <c r="C95" i="2" s="1"/>
  <c r="C53" i="2"/>
  <c r="D53" i="2" s="1"/>
  <c r="D113" i="2" s="1"/>
  <c r="D52" i="2"/>
  <c r="D112" i="2" s="1"/>
  <c r="D256" i="2"/>
  <c r="B324" i="2" s="1"/>
  <c r="C435" i="2"/>
  <c r="D296" i="2"/>
  <c r="C324" i="2" s="1"/>
  <c r="D147" i="2"/>
  <c r="C147" i="2"/>
  <c r="C134" i="2"/>
  <c r="D28" i="2"/>
  <c r="D104" i="2"/>
  <c r="B369" i="2" l="1"/>
  <c r="D369" i="2" s="1"/>
  <c r="B395" i="2" s="1"/>
  <c r="D395" i="2" s="1"/>
  <c r="B481" i="2" s="1"/>
  <c r="B368" i="2"/>
  <c r="D368" i="2" s="1"/>
  <c r="D394" i="2" s="1"/>
  <c r="B480" i="2" s="1"/>
  <c r="B411" i="2"/>
  <c r="D411" i="2" s="1"/>
  <c r="B437" i="2" s="1"/>
  <c r="D437" i="2" s="1"/>
  <c r="C481" i="2" s="1"/>
  <c r="E164" i="2"/>
  <c r="B343" i="2" s="1"/>
  <c r="B410" i="2"/>
  <c r="D410" i="2" s="1"/>
  <c r="B436" i="2" s="1"/>
  <c r="D436" i="2" s="1"/>
  <c r="C480" i="2" s="1"/>
  <c r="B191" i="2"/>
  <c r="D191" i="2" s="1"/>
  <c r="B217" i="2" s="1"/>
  <c r="B204" i="2"/>
  <c r="D204" i="2" s="1"/>
  <c r="B425" i="2" s="1"/>
  <c r="D425" i="2" s="1"/>
  <c r="E455" i="2"/>
  <c r="B468" i="2" s="1"/>
  <c r="D468" i="2" s="1"/>
  <c r="D483" i="2" s="1"/>
  <c r="B165" i="2"/>
  <c r="B456" i="2"/>
  <c r="D165" i="2"/>
  <c r="D456" i="2"/>
  <c r="C165" i="2"/>
  <c r="C456" i="2"/>
  <c r="G324" i="2"/>
  <c r="D339" i="2" s="1"/>
  <c r="D300" i="2"/>
  <c r="B153" i="2"/>
  <c r="E153" i="2" s="1"/>
  <c r="B127" i="2"/>
  <c r="D127" i="2" s="1"/>
  <c r="B140" i="2"/>
  <c r="D140" i="2" s="1"/>
  <c r="D95" i="2"/>
  <c r="E111" i="2" s="1"/>
  <c r="G111" i="2" s="1"/>
  <c r="B69" i="2"/>
  <c r="E69" i="2" s="1"/>
  <c r="B96" i="2" s="1"/>
  <c r="B83" i="2"/>
  <c r="E83" i="2" s="1"/>
  <c r="C96" i="2" s="1"/>
  <c r="B70" i="2"/>
  <c r="E70" i="2" s="1"/>
  <c r="B97" i="2" s="1"/>
  <c r="B84" i="2"/>
  <c r="E84" i="2" s="1"/>
  <c r="C97" i="2" s="1"/>
  <c r="C104" i="2"/>
  <c r="G104" i="2" s="1"/>
  <c r="D525" i="2"/>
  <c r="E508" i="2"/>
  <c r="C525" i="2" s="1"/>
  <c r="D524" i="2"/>
  <c r="E507" i="2"/>
  <c r="B524" i="2" s="1"/>
  <c r="D523" i="2"/>
  <c r="E506" i="2"/>
  <c r="C523" i="2" s="1"/>
  <c r="D522" i="2"/>
  <c r="E505" i="2"/>
  <c r="B522" i="2" s="1"/>
  <c r="D521" i="2"/>
  <c r="E504" i="2"/>
  <c r="C521" i="2" s="1"/>
  <c r="D520" i="2"/>
  <c r="E503" i="2"/>
  <c r="B520" i="2" s="1"/>
  <c r="D519" i="2"/>
  <c r="E502" i="2"/>
  <c r="B519" i="2" s="1"/>
  <c r="D518" i="2"/>
  <c r="E501" i="2"/>
  <c r="C518" i="2" s="1"/>
  <c r="D517" i="2"/>
  <c r="E500" i="2"/>
  <c r="C517" i="2" s="1"/>
  <c r="D516" i="2"/>
  <c r="E499" i="2"/>
  <c r="D515" i="2"/>
  <c r="E498" i="2"/>
  <c r="B515" i="2" s="1"/>
  <c r="E481" i="2" l="1"/>
  <c r="D693" i="2" s="1"/>
  <c r="E480" i="2"/>
  <c r="B205" i="2"/>
  <c r="D205" i="2" s="1"/>
  <c r="B426" i="2" s="1"/>
  <c r="D426" i="2" s="1"/>
  <c r="B192" i="2"/>
  <c r="D192" i="2" s="1"/>
  <c r="B218" i="2" s="1"/>
  <c r="E165" i="2"/>
  <c r="B344" i="2" s="1"/>
  <c r="C217" i="2"/>
  <c r="D217" i="2" s="1"/>
  <c r="C342" i="2" s="1"/>
  <c r="E342" i="2" s="1"/>
  <c r="B383" i="2"/>
  <c r="D383" i="2" s="1"/>
  <c r="D166" i="2"/>
  <c r="D457" i="2"/>
  <c r="E456" i="2"/>
  <c r="B469" i="2" s="1"/>
  <c r="D469" i="2" s="1"/>
  <c r="D484" i="2" s="1"/>
  <c r="B166" i="2"/>
  <c r="B457" i="2"/>
  <c r="C166" i="2"/>
  <c r="C457" i="2"/>
  <c r="D304" i="2"/>
  <c r="C332" i="2" s="1"/>
  <c r="G332" i="2" s="1"/>
  <c r="D347" i="2" s="1"/>
  <c r="C328" i="2"/>
  <c r="G328" i="2" s="1"/>
  <c r="D343" i="2" s="1"/>
  <c r="B154" i="2"/>
  <c r="E154" i="2" s="1"/>
  <c r="B121" i="2"/>
  <c r="B128" i="2"/>
  <c r="D128" i="2" s="1"/>
  <c r="B141" i="2"/>
  <c r="D141" i="2" s="1"/>
  <c r="D97" i="2"/>
  <c r="E113" i="2" s="1"/>
  <c r="G113" i="2" s="1"/>
  <c r="D96" i="2"/>
  <c r="E112" i="2" s="1"/>
  <c r="G112" i="2" s="1"/>
  <c r="B517" i="2"/>
  <c r="B525" i="2"/>
  <c r="C522" i="2"/>
  <c r="B523" i="2"/>
  <c r="B518" i="2"/>
  <c r="C520" i="2"/>
  <c r="B521" i="2"/>
  <c r="B516" i="2"/>
  <c r="C516" i="2"/>
  <c r="D526" i="2"/>
  <c r="C545" i="2" s="1"/>
  <c r="C519" i="2"/>
  <c r="C515" i="2"/>
  <c r="C524" i="2"/>
  <c r="B533" i="2" l="1"/>
  <c r="D533" i="2" s="1"/>
  <c r="B546" i="2" s="1"/>
  <c r="B534" i="2"/>
  <c r="D534" i="2" s="1"/>
  <c r="B547" i="2" s="1"/>
  <c r="C218" i="2"/>
  <c r="D218" i="2" s="1"/>
  <c r="C343" i="2" s="1"/>
  <c r="E343" i="2" s="1"/>
  <c r="C554" i="2"/>
  <c r="C553" i="2"/>
  <c r="C552" i="2"/>
  <c r="C551" i="2"/>
  <c r="B384" i="2"/>
  <c r="D384" i="2" s="1"/>
  <c r="B412" i="2"/>
  <c r="D412" i="2" s="1"/>
  <c r="B438" i="2" s="1"/>
  <c r="D438" i="2" s="1"/>
  <c r="C482" i="2" s="1"/>
  <c r="B206" i="2"/>
  <c r="D206" i="2" s="1"/>
  <c r="B427" i="2" s="1"/>
  <c r="D427" i="2" s="1"/>
  <c r="B193" i="2"/>
  <c r="D193" i="2" s="1"/>
  <c r="B219" i="2" s="1"/>
  <c r="B370" i="2"/>
  <c r="D370" i="2" s="1"/>
  <c r="B396" i="2" s="1"/>
  <c r="D396" i="2" s="1"/>
  <c r="B482" i="2" s="1"/>
  <c r="E166" i="2"/>
  <c r="B345" i="2" s="1"/>
  <c r="B167" i="2"/>
  <c r="B458" i="2"/>
  <c r="D167" i="2"/>
  <c r="D458" i="2"/>
  <c r="E457" i="2"/>
  <c r="B470" i="2" s="1"/>
  <c r="D470" i="2" s="1"/>
  <c r="D485" i="2" s="1"/>
  <c r="C167" i="2"/>
  <c r="C458" i="2"/>
  <c r="D301" i="2"/>
  <c r="B156" i="2"/>
  <c r="E156" i="2" s="1"/>
  <c r="B155" i="2"/>
  <c r="E155" i="2" s="1"/>
  <c r="B129" i="2"/>
  <c r="D129" i="2" s="1"/>
  <c r="B142" i="2"/>
  <c r="D142" i="2" s="1"/>
  <c r="B130" i="2"/>
  <c r="D130" i="2" s="1"/>
  <c r="B143" i="2"/>
  <c r="D143" i="2" s="1"/>
  <c r="B526" i="2"/>
  <c r="C546" i="2" s="1"/>
  <c r="C526" i="2"/>
  <c r="B385" i="2" l="1"/>
  <c r="D385" i="2" s="1"/>
  <c r="C219" i="2"/>
  <c r="D219" i="2" s="1"/>
  <c r="C344" i="2" s="1"/>
  <c r="C550" i="2"/>
  <c r="C547" i="2"/>
  <c r="D547" i="2" s="1"/>
  <c r="E547" i="2" s="1"/>
  <c r="B591" i="2" s="1"/>
  <c r="D591" i="2" s="1"/>
  <c r="C549" i="2"/>
  <c r="C548" i="2"/>
  <c r="D546" i="2"/>
  <c r="E546" i="2" s="1"/>
  <c r="B590" i="2" s="1"/>
  <c r="D590" i="2" s="1"/>
  <c r="B668" i="2" s="1"/>
  <c r="D668" i="2" s="1"/>
  <c r="E482" i="2"/>
  <c r="B194" i="2"/>
  <c r="D194" i="2" s="1"/>
  <c r="B220" i="2" s="1"/>
  <c r="B207" i="2"/>
  <c r="D207" i="2" s="1"/>
  <c r="B428" i="2" s="1"/>
  <c r="D428" i="2" s="1"/>
  <c r="E167" i="2"/>
  <c r="B346" i="2" s="1"/>
  <c r="D168" i="2"/>
  <c r="D459" i="2"/>
  <c r="D169" i="2"/>
  <c r="D460" i="2"/>
  <c r="C169" i="2"/>
  <c r="C460" i="2"/>
  <c r="B169" i="2"/>
  <c r="B460" i="2"/>
  <c r="C168" i="2"/>
  <c r="C459" i="2"/>
  <c r="E458" i="2"/>
  <c r="B471" i="2" s="1"/>
  <c r="D471" i="2" s="1"/>
  <c r="D486" i="2" s="1"/>
  <c r="B168" i="2"/>
  <c r="B459" i="2"/>
  <c r="B371" i="2"/>
  <c r="D371" i="2" s="1"/>
  <c r="B397" i="2" s="1"/>
  <c r="D397" i="2" s="1"/>
  <c r="B483" i="2" s="1"/>
  <c r="B413" i="2"/>
  <c r="D413" i="2" s="1"/>
  <c r="B439" i="2" s="1"/>
  <c r="D439" i="2" s="1"/>
  <c r="C483" i="2" s="1"/>
  <c r="D305" i="2"/>
  <c r="C329" i="2"/>
  <c r="G329" i="2" s="1"/>
  <c r="D344" i="2" s="1"/>
  <c r="B669" i="2" l="1"/>
  <c r="D669" i="2" s="1"/>
  <c r="D694" i="2"/>
  <c r="B535" i="2"/>
  <c r="D535" i="2" s="1"/>
  <c r="B548" i="2" s="1"/>
  <c r="D548" i="2" s="1"/>
  <c r="E548" i="2" s="1"/>
  <c r="B592" i="2" s="1"/>
  <c r="D592" i="2" s="1"/>
  <c r="B670" i="2" s="1"/>
  <c r="D670" i="2" s="1"/>
  <c r="E168" i="2"/>
  <c r="B347" i="2" s="1"/>
  <c r="E344" i="2"/>
  <c r="B195" i="2"/>
  <c r="D195" i="2" s="1"/>
  <c r="B221" i="2" s="1"/>
  <c r="E459" i="2"/>
  <c r="B472" i="2" s="1"/>
  <c r="D472" i="2" s="1"/>
  <c r="D487" i="2" s="1"/>
  <c r="B386" i="2"/>
  <c r="D386" i="2" s="1"/>
  <c r="E483" i="2"/>
  <c r="B208" i="2"/>
  <c r="D208" i="2" s="1"/>
  <c r="B429" i="2" s="1"/>
  <c r="D429" i="2" s="1"/>
  <c r="C220" i="2"/>
  <c r="D220" i="2" s="1"/>
  <c r="C345" i="2" s="1"/>
  <c r="E345" i="2" s="1"/>
  <c r="E169" i="2"/>
  <c r="B348" i="2" s="1"/>
  <c r="E460" i="2"/>
  <c r="B473" i="2" s="1"/>
  <c r="D473" i="2" s="1"/>
  <c r="D488" i="2" s="1"/>
  <c r="C333" i="2"/>
  <c r="G333" i="2" s="1"/>
  <c r="D348" i="2" s="1"/>
  <c r="B196" i="2"/>
  <c r="D196" i="2" s="1"/>
  <c r="B222" i="2" s="1"/>
  <c r="B209" i="2"/>
  <c r="D209" i="2" s="1"/>
  <c r="B430" i="2" s="1"/>
  <c r="D430" i="2" s="1"/>
  <c r="B372" i="2" l="1"/>
  <c r="D372" i="2" s="1"/>
  <c r="B398" i="2" s="1"/>
  <c r="D398" i="2" s="1"/>
  <c r="B484" i="2" s="1"/>
  <c r="B536" i="2"/>
  <c r="D536" i="2" s="1"/>
  <c r="B549" i="2" s="1"/>
  <c r="D549" i="2" s="1"/>
  <c r="E549" i="2" s="1"/>
  <c r="B593" i="2" s="1"/>
  <c r="D593" i="2" s="1"/>
  <c r="B671" i="2"/>
  <c r="D671" i="2" s="1"/>
  <c r="B414" i="2"/>
  <c r="D414" i="2" s="1"/>
  <c r="B440" i="2" s="1"/>
  <c r="D440" i="2" s="1"/>
  <c r="C484" i="2" s="1"/>
  <c r="B373" i="2"/>
  <c r="D373" i="2" s="1"/>
  <c r="B399" i="2" s="1"/>
  <c r="D399" i="2" s="1"/>
  <c r="B485" i="2" s="1"/>
  <c r="B387" i="2"/>
  <c r="D387" i="2" s="1"/>
  <c r="C221" i="2"/>
  <c r="D221" i="2" s="1"/>
  <c r="C346" i="2" s="1"/>
  <c r="E346" i="2" s="1"/>
  <c r="B415" i="2"/>
  <c r="D415" i="2" s="1"/>
  <c r="B441" i="2" s="1"/>
  <c r="D441" i="2" s="1"/>
  <c r="C485" i="2" s="1"/>
  <c r="B210" i="2"/>
  <c r="D210" i="2" s="1"/>
  <c r="B431" i="2" s="1"/>
  <c r="D431" i="2" s="1"/>
  <c r="B197" i="2"/>
  <c r="D197" i="2" s="1"/>
  <c r="B223" i="2" s="1"/>
  <c r="C222" i="2"/>
  <c r="D222" i="2" s="1"/>
  <c r="C347" i="2" s="1"/>
  <c r="E347" i="2" s="1"/>
  <c r="B388" i="2"/>
  <c r="D388" i="2" s="1"/>
  <c r="E484" i="2" l="1"/>
  <c r="B416" i="2"/>
  <c r="D416" i="2" s="1"/>
  <c r="B442" i="2" s="1"/>
  <c r="D442" i="2" s="1"/>
  <c r="C486" i="2" s="1"/>
  <c r="E485" i="2"/>
  <c r="B374" i="2"/>
  <c r="D374" i="2" s="1"/>
  <c r="B400" i="2" s="1"/>
  <c r="D400" i="2" s="1"/>
  <c r="B486" i="2" s="1"/>
  <c r="C223" i="2"/>
  <c r="D223" i="2" s="1"/>
  <c r="C348" i="2" s="1"/>
  <c r="E348" i="2" s="1"/>
  <c r="B389" i="2"/>
  <c r="D389" i="2" s="1"/>
  <c r="B375" i="2"/>
  <c r="D375" i="2" s="1"/>
  <c r="B401" i="2" s="1"/>
  <c r="D401" i="2" s="1"/>
  <c r="B487" i="2" s="1"/>
  <c r="B417" i="2"/>
  <c r="D417" i="2" s="1"/>
  <c r="B443" i="2" s="1"/>
  <c r="D443" i="2" s="1"/>
  <c r="C487" i="2" s="1"/>
  <c r="B538" i="2" l="1"/>
  <c r="D538" i="2" s="1"/>
  <c r="B551" i="2" s="1"/>
  <c r="D551" i="2" s="1"/>
  <c r="E551" i="2" s="1"/>
  <c r="B595" i="2" s="1"/>
  <c r="D595" i="2" s="1"/>
  <c r="B673" i="2" s="1"/>
  <c r="D673" i="2" s="1"/>
  <c r="B537" i="2"/>
  <c r="D537" i="2" s="1"/>
  <c r="B550" i="2" s="1"/>
  <c r="D550" i="2" s="1"/>
  <c r="E550" i="2" s="1"/>
  <c r="B594" i="2" s="1"/>
  <c r="D594" i="2" s="1"/>
  <c r="B672" i="2" s="1"/>
  <c r="D672" i="2" s="1"/>
  <c r="E486" i="2"/>
  <c r="B376" i="2"/>
  <c r="D376" i="2" s="1"/>
  <c r="B402" i="2" s="1"/>
  <c r="D402" i="2" s="1"/>
  <c r="B488" i="2" s="1"/>
  <c r="B418" i="2"/>
  <c r="D418" i="2" s="1"/>
  <c r="B444" i="2" s="1"/>
  <c r="D444" i="2" s="1"/>
  <c r="C488" i="2" s="1"/>
  <c r="E487" i="2"/>
  <c r="B540" i="2" l="1"/>
  <c r="D540" i="2" s="1"/>
  <c r="B553" i="2" s="1"/>
  <c r="D553" i="2" s="1"/>
  <c r="E553" i="2" s="1"/>
  <c r="B597" i="2" s="1"/>
  <c r="D597" i="2" s="1"/>
  <c r="B675" i="2"/>
  <c r="D675" i="2" s="1"/>
  <c r="B539" i="2"/>
  <c r="D539" i="2" s="1"/>
  <c r="B552" i="2" s="1"/>
  <c r="D552" i="2" s="1"/>
  <c r="E552" i="2" s="1"/>
  <c r="B596" i="2" s="1"/>
  <c r="D596" i="2" s="1"/>
  <c r="B674" i="2" s="1"/>
  <c r="D674" i="2" s="1"/>
  <c r="E488" i="2"/>
  <c r="B685" i="2"/>
  <c r="D685" i="2" s="1"/>
  <c r="B541" i="2" l="1"/>
  <c r="D541" i="2" s="1"/>
  <c r="B554" i="2" s="1"/>
  <c r="D554" i="2" s="1"/>
  <c r="E554" i="2" s="1"/>
  <c r="B598" i="2" s="1"/>
  <c r="D598" i="2" s="1"/>
  <c r="B676" i="2" s="1"/>
  <c r="D676" i="2" s="1"/>
  <c r="B683" i="2" s="1"/>
  <c r="D683" i="2" s="1"/>
  <c r="B684" i="2" l="1"/>
  <c r="D684" i="2" s="1"/>
  <c r="C695" i="2"/>
  <c r="D695" i="2" l="1"/>
  <c r="D696" i="2"/>
  <c r="D697" i="2" s="1"/>
  <c r="D698" i="2" s="1"/>
  <c r="B134" i="2" l="1"/>
  <c r="D134" i="2" s="1"/>
  <c r="C451" i="2" s="1"/>
  <c r="B147" i="2"/>
  <c r="E147" i="2" s="1"/>
  <c r="D121" i="2"/>
  <c r="B451" i="2" s="1"/>
  <c r="D160" i="2" l="1"/>
  <c r="D451" i="2"/>
  <c r="E451" i="2" s="1"/>
  <c r="C160" i="2"/>
  <c r="B160" i="2"/>
  <c r="E160" i="2" l="1"/>
  <c r="B339" i="2" s="1"/>
  <c r="B464" i="2"/>
  <c r="D464" i="2" s="1"/>
  <c r="D479" i="2" s="1"/>
  <c r="B201" i="2" l="1"/>
  <c r="D201" i="2" s="1"/>
  <c r="B188" i="2"/>
  <c r="D188" i="2" s="1"/>
  <c r="B214" i="2" s="1"/>
  <c r="B380" i="2" l="1"/>
  <c r="D380" i="2" s="1"/>
  <c r="B422" i="2"/>
  <c r="D422" i="2" s="1"/>
  <c r="C214" i="2"/>
  <c r="D214" i="2" s="1"/>
  <c r="C339" i="2" s="1"/>
  <c r="E339" i="2" s="1"/>
  <c r="B367" i="2" l="1"/>
  <c r="D367" i="2" s="1"/>
  <c r="B479" i="2" s="1"/>
  <c r="B409" i="2"/>
  <c r="D409" i="2" s="1"/>
  <c r="B692" i="2"/>
  <c r="B435" i="2" l="1"/>
  <c r="D435" i="2" s="1"/>
  <c r="C479" i="2" s="1"/>
  <c r="E479" i="2" s="1"/>
  <c r="B532" i="2" l="1"/>
  <c r="D532" i="2" s="1"/>
  <c r="B693" i="2"/>
  <c r="D574" i="2"/>
  <c r="C589" i="2" s="1"/>
  <c r="B545" i="2" l="1"/>
  <c r="D545" i="2" s="1"/>
  <c r="E545" i="2" s="1"/>
  <c r="B589" i="2" l="1"/>
  <c r="D589" i="2" s="1"/>
  <c r="B694" i="2" l="1"/>
  <c r="D667" i="2"/>
  <c r="C692" i="2"/>
  <c r="B697" i="2" l="1"/>
  <c r="C693" i="2"/>
  <c r="C696" i="2" l="1"/>
  <c r="C697" i="2" s="1"/>
  <c r="C84" i="18"/>
  <c r="C99" i="18" s="1"/>
  <c r="C130" i="18" s="1"/>
  <c r="C132" i="18" s="1"/>
  <c r="C134" i="18" s="1"/>
</calcChain>
</file>

<file path=xl/comments1.xml><?xml version="1.0" encoding="utf-8"?>
<comments xmlns="http://schemas.openxmlformats.org/spreadsheetml/2006/main">
  <authors>
    <author>Scheyla Cristina de Souza Belmiro do Amaral</author>
  </authors>
  <commentList>
    <comment ref="A511" authorId="0" shapeId="0">
      <text>
        <r>
          <rPr>
            <b/>
            <sz val="9"/>
            <color indexed="81"/>
            <rFont val="Segoe UI"/>
            <family val="2"/>
          </rPr>
          <t xml:space="preserve">Seges: </t>
        </r>
        <r>
          <rPr>
            <sz val="9"/>
            <color indexed="81"/>
            <rFont val="Segoe UI"/>
            <family val="2"/>
          </rPr>
          <t>Esta tabela apresenta o resumo dos dias prováveis de ausência, quando seria necessária a presença de um profissional repositor.
Seu cálculo está automatizado mediante preenchimento da tabela anterior.</t>
        </r>
      </text>
    </comment>
    <comment ref="A514" authorId="0" shapeId="0">
      <text>
        <r>
          <rPr>
            <b/>
            <sz val="9"/>
            <color indexed="81"/>
            <rFont val="Segoe UI"/>
            <family val="2"/>
          </rPr>
          <t xml:space="preserve">Seges: </t>
        </r>
        <r>
          <rPr>
            <sz val="9"/>
            <color indexed="81"/>
            <rFont val="Segoe UI"/>
            <family val="2"/>
          </rPr>
          <t xml:space="preserve">este ítem destina-se ao cálculo do custo do empregado substituto que virá cobrir o período de férias do residente, portanto, não se confunde com o direito ao pagamento de férias daquele.
Desde que não haja alteração de fórmulas e/ou estrutura da planilha.
</t>
        </r>
      </text>
    </comment>
    <comment ref="A587" authorId="0" shapeId="0">
      <text>
        <r>
          <rPr>
            <b/>
            <sz val="9"/>
            <color indexed="81"/>
            <rFont val="Segoe UI"/>
            <family val="2"/>
          </rPr>
          <t>Seges:</t>
        </r>
        <r>
          <rPr>
            <sz val="9"/>
            <color indexed="81"/>
            <rFont val="Segoe UI"/>
            <family val="2"/>
          </rPr>
          <t xml:space="preserve"> Esta tabela totaliza os custos com reposição de profissional ausente e está automatizada mediante preenchimento das anteriores. Desde que não haja alteração de fórmulas e/ou estrutura da planilha.</t>
        </r>
      </text>
    </comment>
  </commentList>
</comments>
</file>

<file path=xl/sharedStrings.xml><?xml version="1.0" encoding="utf-8"?>
<sst xmlns="http://schemas.openxmlformats.org/spreadsheetml/2006/main" count="2412" uniqueCount="328">
  <si>
    <t>SALÁRIO BASE</t>
  </si>
  <si>
    <t>Base de cálculo</t>
  </si>
  <si>
    <t>Percentual</t>
  </si>
  <si>
    <t>Categoria</t>
  </si>
  <si>
    <t>Valor</t>
  </si>
  <si>
    <t>MÓDULO 1 - REMUNERAÇÃO</t>
  </si>
  <si>
    <t>ADICIONAL NOTURNO</t>
  </si>
  <si>
    <t>ADICIONAL POR TRABALHO NOTURNO</t>
  </si>
  <si>
    <t>Base de Cálculo</t>
  </si>
  <si>
    <t>Proporção</t>
  </si>
  <si>
    <t>HORA NOTURNA REDUZIDA</t>
  </si>
  <si>
    <t>Adicional Noturno</t>
  </si>
  <si>
    <t>Hora Noturna
Reduzida</t>
  </si>
  <si>
    <t>Salário Base</t>
  </si>
  <si>
    <t>Total</t>
  </si>
  <si>
    <t>ADICIONAL DE FÉRIAS - 1/3 CONSTITUCIONAL</t>
  </si>
  <si>
    <t>Alíquota Adicional</t>
  </si>
  <si>
    <t>1/3 Constitucional</t>
  </si>
  <si>
    <t>Férias</t>
  </si>
  <si>
    <t>SUBMÓDULO 2.2 - ENCARGOS PREVIDENCIÁRIOS E FGTS</t>
  </si>
  <si>
    <t>COMPOSIÇÃO DO GPS E FGTS</t>
  </si>
  <si>
    <t>Encargos</t>
  </si>
  <si>
    <t>INSS - empregador</t>
  </si>
  <si>
    <t>Salário-Educação</t>
  </si>
  <si>
    <t>SAT- GIL/RAT</t>
  </si>
  <si>
    <t>SESC</t>
  </si>
  <si>
    <t>SENAC</t>
  </si>
  <si>
    <t>SEBRAE</t>
  </si>
  <si>
    <t>INCRA</t>
  </si>
  <si>
    <t>FGTS</t>
  </si>
  <si>
    <t>TOTAL</t>
  </si>
  <si>
    <t>GPS - GUIA DA PREVIDÊNCIA SOCIAL</t>
  </si>
  <si>
    <t>FGTS - FUNDO DE GARANTIA POR TEMPO DE SERVIÇO</t>
  </si>
  <si>
    <t>GPS</t>
  </si>
  <si>
    <t>SUBMÓDULO 2.3 - BENEFÍCIOS MENSAIS E DIÁRIOS</t>
  </si>
  <si>
    <t>VALE TRANSPORTE</t>
  </si>
  <si>
    <t>Vr. Unitário</t>
  </si>
  <si>
    <t xml:space="preserve">Vales por dia </t>
  </si>
  <si>
    <t>Custo total</t>
  </si>
  <si>
    <t>Dias efetivamente trabalhados</t>
  </si>
  <si>
    <t>CUSTO DA PASSAGEM</t>
  </si>
  <si>
    <t>Proporcionalidade</t>
  </si>
  <si>
    <t>Desconto</t>
  </si>
  <si>
    <t>Valor do desconto</t>
  </si>
  <si>
    <t>DESCONTO DO VALE TRANSPORTE</t>
  </si>
  <si>
    <t>Custo efetivo</t>
  </si>
  <si>
    <t>CUSTO EFETIVO DO VALE TRANSPORTE</t>
  </si>
  <si>
    <t>VALE ALIMENTAÇÃO/REFEIÇÃO</t>
  </si>
  <si>
    <t>Valor diário</t>
  </si>
  <si>
    <t>DESCONTO DO VALE ALIMENTAÇÃO/REFEIÇÃO</t>
  </si>
  <si>
    <t>CUSTO EFETIVO DO VALE ALIMENTAÇÃO/REFEIÇÃO</t>
  </si>
  <si>
    <t>Vale Transporte</t>
  </si>
  <si>
    <t>MÓDULO 3 - PROVISÃO PARA RESCISÃO</t>
  </si>
  <si>
    <t>PERCENTUAIS POR TIPO DE
 DESLIGAMENTO</t>
  </si>
  <si>
    <t>Tipos</t>
  </si>
  <si>
    <t>Demissão 
SEM  justa Causa</t>
  </si>
  <si>
    <t>SEM justa Causa
AP INDENIZADO</t>
  </si>
  <si>
    <t>SEM justa Causa 
AP TRABALHADO</t>
  </si>
  <si>
    <t>Demissão
 COM  justa Causa</t>
  </si>
  <si>
    <t>Desligamentos 
OUTROS TIPOS</t>
  </si>
  <si>
    <t>SUBMÓDULO 3.1 - AVISO PRÉVIO INDENIZADO</t>
  </si>
  <si>
    <t>AVISO PRÉVIO INDENIZADO</t>
  </si>
  <si>
    <t>Submódulo 2.1</t>
  </si>
  <si>
    <t>Submódulo 2.2</t>
  </si>
  <si>
    <t>Submódulo 2.3</t>
  </si>
  <si>
    <t>Percentual da 
Multa</t>
  </si>
  <si>
    <t>SUBMÓDULO 3.1 - CUSTO DO AVISO PRÉVIO INDENIZADO</t>
  </si>
  <si>
    <t>SUBMÓDULO 3.2 - AVISO PRÉVIO TRABALHADO</t>
  </si>
  <si>
    <t>AVISO PRÉVIO TRABALHADO</t>
  </si>
  <si>
    <t>SUBMÓDULO 3.3 - DEMISSÃO POR JUSTA CAUSA</t>
  </si>
  <si>
    <t>Valor provisionado do Adicional de Férias</t>
  </si>
  <si>
    <t>Valor provisionado das Férias</t>
  </si>
  <si>
    <t>BASE DE CÁLCULO PARA DEMISSÃO POR JUSTA CAUSA</t>
  </si>
  <si>
    <t>SUBMÓDULO 3.3 - CUSTO DA DEMISSÃO COM JUSTA CAUSA</t>
  </si>
  <si>
    <t>Submódulo 3.1</t>
  </si>
  <si>
    <t>Submódulo 3.2</t>
  </si>
  <si>
    <t>Submódulo 3.3</t>
  </si>
  <si>
    <t>SUBMÓDULO 3.2 - CUSTO DO AVISO PRÉVIO TRABALHADO</t>
  </si>
  <si>
    <t>MÓDULO 4 - CUSTO DE REPOSIÇÃO DO PROFISSIONAL AUSENTE</t>
  </si>
  <si>
    <t>Custo diário</t>
  </si>
  <si>
    <t>Divisor do dia</t>
  </si>
  <si>
    <t>CUSTO DIÁRIO PARA O REPOSITOR</t>
  </si>
  <si>
    <t xml:space="preserve">Memória de Cálculo - número de dias de reposição do profissional ausente para cada evento </t>
  </si>
  <si>
    <t>Incidencia anual</t>
  </si>
  <si>
    <t>Duração Legal  
da Ausência</t>
  </si>
  <si>
    <t>12x36</t>
  </si>
  <si>
    <t>Proporção dias afetados</t>
  </si>
  <si>
    <t>Dias de reposição</t>
  </si>
  <si>
    <t>Ausência justificada</t>
  </si>
  <si>
    <t>Acidente trabalho</t>
  </si>
  <si>
    <t>Afastamento por doença</t>
  </si>
  <si>
    <t>Consulta médica filho</t>
  </si>
  <si>
    <t>Óbitos na família</t>
  </si>
  <si>
    <t>Casamento</t>
  </si>
  <si>
    <t>Doação de sangue</t>
  </si>
  <si>
    <t>Testemunho</t>
  </si>
  <si>
    <t>Paternidade</t>
  </si>
  <si>
    <t>Maternidade</t>
  </si>
  <si>
    <t>Consulta pré-natal</t>
  </si>
  <si>
    <t>Composição</t>
  </si>
  <si>
    <t xml:space="preserve"> 12 x 36 D</t>
  </si>
  <si>
    <t>12 x 36 N</t>
  </si>
  <si>
    <t>Total Para reposição</t>
  </si>
  <si>
    <t>ESTIMATIVA DA NECESSIDADE DE REPOSIÇÃO DE PROFISSIONAL</t>
  </si>
  <si>
    <t>Necessidade de Reposição</t>
  </si>
  <si>
    <t>Custo anual</t>
  </si>
  <si>
    <t>Custo mensal</t>
  </si>
  <si>
    <t>SUBMÓDULO 4.1 - AUSÊNCIAS LEGAIS</t>
  </si>
  <si>
    <t>SUBMÓDULO 4.2 - INTRAJORNADA</t>
  </si>
  <si>
    <t>divisor de hora</t>
  </si>
  <si>
    <t>CUSTO POR HORA DO REPOSITOR</t>
  </si>
  <si>
    <t>Valor da hora</t>
  </si>
  <si>
    <t>Necessidade de Reposição (horas)</t>
  </si>
  <si>
    <t>Submódulo 4.1</t>
  </si>
  <si>
    <t>Submódulo 4.2</t>
  </si>
  <si>
    <t>MÓDULO 5 - INSUMOS DE MÃO DE OBRA</t>
  </si>
  <si>
    <t>MÓDULO 6 - CUSTOS INDIRETOS, TRIBUTOS E LUCRO</t>
  </si>
  <si>
    <t>Subordinados</t>
  </si>
  <si>
    <t>RATEIO DA CHEFIA DE CAMPO</t>
  </si>
  <si>
    <t>Módulo</t>
  </si>
  <si>
    <t>Remuneração</t>
  </si>
  <si>
    <t>Encargos e Benefícios</t>
  </si>
  <si>
    <t>Rescisão</t>
  </si>
  <si>
    <t>Reposição do Profissional Ausente</t>
  </si>
  <si>
    <t>Insumos Diversos</t>
  </si>
  <si>
    <t>Custos Indiretos, Tributos e Lucro</t>
  </si>
  <si>
    <t>Valor por Empregado</t>
  </si>
  <si>
    <t>Valor por Posto</t>
  </si>
  <si>
    <t xml:space="preserve">Férias </t>
  </si>
  <si>
    <t>13° Salário</t>
  </si>
  <si>
    <t>MÓDULO 2 - ENCARGOS E BENEFÍCIOS (ANUAIS, MENSAIS E DIÁRIOS)</t>
  </si>
  <si>
    <t>Valor provisionado do 13º Salário</t>
  </si>
  <si>
    <t>Provisionamento Mensal</t>
  </si>
  <si>
    <t>SUBMÓDULO 2.1 – 13° SALÁRIO, FÉRIAS E ADICIONAL DE FÉRIAS</t>
  </si>
  <si>
    <t>GRATIFICAÇÃO DE FUNÇÃO</t>
  </si>
  <si>
    <t>Valor da Gratificação</t>
  </si>
  <si>
    <t>ADICIONAIS (periculosidade ou insalubridade, se houver)</t>
  </si>
  <si>
    <t>RATEIO DO Cargo B</t>
  </si>
  <si>
    <t>Este quadro totaliza a remuneração devida ao trabalhador, conforme previsão da Consolidação das Leis do Trabalho e valores disponíveis na Convenção Coletiva para a categoria</t>
  </si>
  <si>
    <t>Gratificação de função</t>
  </si>
  <si>
    <t>Cargo B (12x36 Diurno)</t>
  </si>
  <si>
    <t>Cargo B (12x36 Noturno)</t>
  </si>
  <si>
    <t>Cargo B (44h semanais)</t>
  </si>
  <si>
    <t>13° SALÁRIO
Previsto no Decreto 57.155, de 1965.</t>
  </si>
  <si>
    <t>FÉRIAS
Previsto no art. 7° da Constituição Federal</t>
  </si>
  <si>
    <t>Adicional de Periculosidade ou Insalubridade</t>
  </si>
  <si>
    <t>Porobabilidade de ocorrência de ausências legais, conforme previsão do art. 473 da Consolidação das Leis do Trabalho.</t>
  </si>
  <si>
    <t>INFORMAÇÃO DE PERCENTUAIS ESTIMADOS DE CITL</t>
  </si>
  <si>
    <t>Custos Indiretos</t>
  </si>
  <si>
    <t>Tributos</t>
  </si>
  <si>
    <t>Lucro</t>
  </si>
  <si>
    <t>CUSTO DO TRABALHADOR</t>
  </si>
  <si>
    <t>CUSTO TOTAL POR TRABALHADOR</t>
  </si>
  <si>
    <t xml:space="preserve">UNIFORMES - COMPOSIÇÃO - VALOR ANUAL </t>
  </si>
  <si>
    <t>Calça</t>
  </si>
  <si>
    <t xml:space="preserve">Custo anual por Pessoa  </t>
  </si>
  <si>
    <t>UNIFORMES</t>
  </si>
  <si>
    <t xml:space="preserve">Custo mensal </t>
  </si>
  <si>
    <t xml:space="preserve">Valor total </t>
  </si>
  <si>
    <t>Valor por empregado</t>
  </si>
  <si>
    <t>Custo com Uniformes</t>
  </si>
  <si>
    <t>Módulo 1 - Composição da Remuneração</t>
  </si>
  <si>
    <t>Composição da Remuneração</t>
  </si>
  <si>
    <t>Valor (R$)</t>
  </si>
  <si>
    <t>A</t>
  </si>
  <si>
    <t>Salário-Base</t>
  </si>
  <si>
    <t>B</t>
  </si>
  <si>
    <t>Adicional de Periculosidade</t>
  </si>
  <si>
    <t>C</t>
  </si>
  <si>
    <t>Adicional de Insalubridade</t>
  </si>
  <si>
    <t>D</t>
  </si>
  <si>
    <t>E</t>
  </si>
  <si>
    <t>Adicional de Hora Noturna Reduzida</t>
  </si>
  <si>
    <t>F</t>
  </si>
  <si>
    <t>G</t>
  </si>
  <si>
    <t>Outros (especificar)</t>
  </si>
  <si>
    <t>Módulo 2 - Encargos e Benefícios Anuais, Mensais e Diários</t>
  </si>
  <si>
    <t>Submódulo 2.1 - 13º (décimo terceiro) Salário, Férias e Adicional de Férias</t>
  </si>
  <si>
    <t>2.1</t>
  </si>
  <si>
    <t>13º (décimo terceiro) Salário, Férias e Adicional de Férias</t>
  </si>
  <si>
    <t>13º (décimo terceiro) Salário</t>
  </si>
  <si>
    <t>Férias e Adicional de Férias</t>
  </si>
  <si>
    <t>Submódulo 2.2 - Encargos Previdenciários (GPS), Fundo de Garantia por Tempo de Serviço (FGTS) e outras contribuições.</t>
  </si>
  <si>
    <t>2.2</t>
  </si>
  <si>
    <t>GPS, FGTS e outras contribuições</t>
  </si>
  <si>
    <t>Percentual (%)</t>
  </si>
  <si>
    <t>INSS</t>
  </si>
  <si>
    <t>Salário Educação</t>
  </si>
  <si>
    <t>SAT</t>
  </si>
  <si>
    <t>SESC ou SESI</t>
  </si>
  <si>
    <t>SENAI - SENAC</t>
  </si>
  <si>
    <t>H</t>
  </si>
  <si>
    <t xml:space="preserve">Total </t>
  </si>
  <si>
    <t>Submódulo 2.3 - Benefícios Mensais e Diários.</t>
  </si>
  <si>
    <t>2.3</t>
  </si>
  <si>
    <t>Benefícios Mensais e Diários</t>
  </si>
  <si>
    <t>Transporte</t>
  </si>
  <si>
    <t>Auxílio-Refeição/Alimentação</t>
  </si>
  <si>
    <t>Quadro-Resumo do Módulo 2 - Encargos e Benefícios anuais, mensais e diários</t>
  </si>
  <si>
    <t>Encargos e Benefícios Anuais, Mensais e Diários</t>
  </si>
  <si>
    <t>Módulo 3 - Provisão para Rescisão</t>
  </si>
  <si>
    <t>Provisão para Rescisão</t>
  </si>
  <si>
    <t>Módulo 4 - Custo de Reposição do Profissional Ausente</t>
  </si>
  <si>
    <t>Submódulo 4.1 - Ausências Legais</t>
  </si>
  <si>
    <t>4.1</t>
  </si>
  <si>
    <t>Ausências Legais</t>
  </si>
  <si>
    <t>Licença-Paternidade</t>
  </si>
  <si>
    <t>Ausência por acidente de trabalho</t>
  </si>
  <si>
    <t>Afastamento Maternidade</t>
  </si>
  <si>
    <t>Submódulo 4.2 - Intrajornada</t>
  </si>
  <si>
    <t>4.2</t>
  </si>
  <si>
    <t>Intrajornada</t>
  </si>
  <si>
    <t>Quadro-Resumo do Módulo 4 - Custo de Reposição do Profissional Ausente</t>
  </si>
  <si>
    <t>Custo de Reposição do Profissional Ausente</t>
  </si>
  <si>
    <t>Módulo 5 - Insumos Diversos</t>
  </si>
  <si>
    <t>Uniformes</t>
  </si>
  <si>
    <t>Materiais</t>
  </si>
  <si>
    <t>Módulo 6 - Custos Indiretos, Tributos e Lucro</t>
  </si>
  <si>
    <t>2. QUADRO-RESUMO DO CUSTO POR EMPREGADO</t>
  </si>
  <si>
    <t>Mão de obra vinculada à execução contratual (valor por empregado)</t>
  </si>
  <si>
    <t>Subtotal (A + B +C+ D+E)</t>
  </si>
  <si>
    <t>Módulo 6 – Custos Indiretos, Tributos e Lucro</t>
  </si>
  <si>
    <t xml:space="preserve">Valor Total por Empregado </t>
  </si>
  <si>
    <t>PLANILHA DE CUSTOS E FORMAÇÃO DE PREÇOS</t>
  </si>
  <si>
    <t xml:space="preserve">MODELO DE FORMAÇÃO DE CUSTO MENSAL PARA UM EMPREGADO </t>
  </si>
  <si>
    <t>MODELO PARA A CONSOLIDAÇÃO E APRESENTAÇÃO DE PROPOSTAS</t>
  </si>
  <si>
    <t>* A remuneração é definida no art. 457 da Consolidação das Leis do Trabalho. 
* É composta por Salário Base, Adicionais (noturno, de insalubridade ou periculosidade) e gratificações, quando houver.</t>
  </si>
  <si>
    <t xml:space="preserve">* Os adicionais de periculosidade ou insalubridade, em conformidade com os art. 192 e 193 da CLT, dependem da natureza do serviço a ser prestado. 
* O órgão contrantante deverá observar, além da existência de previsão em CLT, se há informações na Convenção Coletiva de Trabalho acerca dos adicionais, bem como seu percentual e a base de cálculo, devendo adaptar a planilha ao caso em concreto. </t>
  </si>
  <si>
    <t>* Previsto no art. 195 da Constituição Federal. 
* Os percentuais informados não são taxativos e deverão observar o enquadramento real das empresas prestadoras de serviço, em especial no que diz respeito ao SAT-GIIL/RAT.</t>
  </si>
  <si>
    <t>* O cálculo de benefícios mensais e diários dependerá das disposições constantes em Convenção Coletiva de Trabalho sobre os direitos negociados aos trabalhadores, observando sempre o custo efetivo a ser suportado pela Administração no contrato de prestação de serviços (descontados os valores arcados pelos empregados).</t>
  </si>
  <si>
    <t>* O Custo de reposição do profissional ausente refere-se ao custo necessário para substituir, no posto de trabalho, o profissional residente quando estiver em gozo de férias ou no caso de um das ausências legais previstas no art 473 da Consolidação das Leis do Trabalho. 
* Na metodologia Seges utiliza-se uma probabilidade de ocorrência, mediante estatísticas da Relação Anual de Informações Sociais-2016 (RAIS/MTE), da Pesquisa Nacional por Amostra de Domicílios-2016 (PNAD/IBGE), do Registro Civil (IBGE)-2016.
* São computados, então, a probabilidade de dias de ausência para cobertura, conforme escala de trabalho mensal.
* Para jornadas jornadas 12x36h a necessidade de reposição incide somente em 50% do dias de ausência devido à escala. 
* Na jornada 44h computa-se somente a reposição nos dias úteis, portanto, 69,04% da ausência total.</t>
  </si>
  <si>
    <t>Duração dos itens 
(vida útil)</t>
  </si>
  <si>
    <t>* Para os casos em que há Supervisor e este não for contratado como um posto de trabalho, a exemplo dos serviços de vigilância patrimonial, seu custo deverá ser rateado pelo total de empregados supervisionados, conforme disposição do Anexo VII-D da Insrução Normativa n° 5, de 2017.</t>
  </si>
  <si>
    <t>Com ajustes após publicação da Lei n° 13.467, de 2017.</t>
  </si>
  <si>
    <t>Intervalo para repouso e alimentação</t>
  </si>
  <si>
    <t>* Este módulo destina-se a calcular o custo de possível desligamento de um empregado vinculado ao contrato de prestação de seviços. 
* Na metodologia Seges calcula-se uma probabilidade de ocorrência, por tipos de desligamentos, como fator de ponderação do custo total.</t>
  </si>
  <si>
    <t>* O submódulo 4.2 destina-se a calcular o custo de um repositor para cobertura do tempo de concessão do intervalo para repouso e alimentação, previsto no art. 71 da Consolidação das Leis do Trabalho, ao empregado residente. 
* Na metodologia Seges, calcula-se o custo da hora de trabalho e multiplica-se pela necessidade de horas de cobertura no mês. 
* Por tratar-se de condição excepcional, dependerá de decisão do órgão contratante, bem como de disposições constantes da Convenção Coletiva quanto ao tempo de intervalo e ao adicional para pagamento.
* Não se computa custo de reposição intrajornada para supervisores por considerar que estes não realizam a cobertura de posto de trabalho e poderiam se ausentar durante o tempo previsto em lei, definição que também deverá ser objeto de apreciação pelos órgãos contratantes.</t>
  </si>
  <si>
    <t>* A planilha de custos e formação de preços é ferramenta de apoio à realização de estimativas da contratação e para a análise das propostas na fase de pregão e nas prorrogações contratuais.
* O modelo disponibilizado na Instrução Normativa n° 5, de 26 de maio de 2017, é inspiracional, devendo ser adaptado pelo órgão ou entidade contratante às suas necessidades.
* A presente proposta visa, tão somente, auxiliar aos órgão que não possuam um modelo definido na formatação dos cálculos de direitos trabalhistas para estimativas de contratos de prestação de serviços, observando as disposições da Consolidação das Leis do Trabalho - CLT e das Convenções Coletivas de Trabalho - CCT (sendo válidos, ainda, os acordos e dissídios coletivos).
* É responsábilidade do usuário que optar pela utilização deste modelo a conferência das fórmulas automatizadas em conformidade com as dispoções de CLT e CCT, para minimizar o risco de equívocos no cômputo das previsões financeiras.
* Dúvidas sobre a metodologia de cálculo poderão ser esclarecidas com a leitura dos Cadernos Técnicos de divulgação de valores limites em: https://www.comprasgovernamentais.gov.br/index.php/cadernos-tecnicos-e-valores-limites.</t>
  </si>
  <si>
    <t>* O Salário Base vem definido na Convenção Coletiva de Trabalho da categoria profissional a ser contratada para o objeto da prestação de serviço. 
* O contratante deverá observar se a CCT abrange o município de prestação de serviço e se está vigente.</t>
  </si>
  <si>
    <t>* Gratificação de função, quando houver, virá informada na Convenção Coletiva de Trabalho da categoria profissional a ser contratada. 
* O órgão contrantante deverá observar, além da existência de gratificação, se esta incidirá sobre os adicionais, devendo adaptar a planilha ao caso em concreto.
*  Para o presente modelo foi considerada gratificação como percentual sobre o salário base e sem incidência sobre os adicionais (noturno, periculosidade ou insalubridade).</t>
  </si>
  <si>
    <t xml:space="preserve">* O Adicional Noturno e a Hora Noturna Reduzida, conforme art. 73 da CLT, serão pagos entre 22h e 5h do dia seguinte, sem prorrogação quando da jornada 12x36h.
* O órgão contrantante deverá observar, além da existência do previsto em CLT, se há informações na Convenção Coletiva de Trabalho acerca da existência do percentual de adicional noturno, bem como se haverá pagamento de hora noturna reduzida e adaptar a planilha ao caso em concreto. </t>
  </si>
  <si>
    <t>* Quando ocorrer a demissão de uma trabalhador e a empresa não conceder prazo de aviso prévio, o trabalhador terá direito a receber o salário referente ao mês completo, conforme dispõe o art. 487 § 1º da CLT.
* A metodologia utilizada pela Seges computa todos os direitos do trabalhador, aplicando a proporcionalidade estimada de ocorrência de aviso prévio indenizado, relizando provisionamento mensal do custo.
* Estes custos deverão ser apreciados atentamente nos casos de prorrogaçao contratual para verificar a necessidade de sua renovação ou não.
* Deverão, ainda, ser obsrvados os ditames da Lei nº 12.506, de 2011 e seus impactos no custo quando das prorrogações contratuais.</t>
  </si>
  <si>
    <t>* Quando ocorrer a demissão de um trabalhador com aviso prévio, o trabalhador cumprirá os dias em atividade, e terá direito a receber o salário referente ao mês completo, conforme dispõe o art. 487 § 1º da CLT.
* A metodologia utilizada pela Seges computa todos os direitos do trabalhador, aplicando a proporcionalidade estimada de ocorrência de aviso prévio trabalhado, relizando provisionamento mensal do custo.
* Estes custos deverão ser apreciados atentamente nos casos de prorrogaçao contratual para verificar a necessidade de sua renovação ou não.
* Deverão, ainda, ser observados os ditames da Lei nº 12.506, de 2011, e seus impactos no custo quando das prorrogações contratuais.</t>
  </si>
  <si>
    <t>*Na hipotese de demissão por justa causa o empregado perde o direito ao pagamento de 13° salário, férias e adicional de férias, como previsto no parágrafo único do art. 146 da CLT.
* Para estes casos,  na metodologia Seges, haverá o desconto dos valores que, por tratar-se de provisão mensal, deverão ser reduzidos da fatura da empresa contratada.
* Igualmente, o cômputo de custos com demissão por justa causa considera a probabilidade de ocorrência desta para provisionamento.</t>
  </si>
  <si>
    <t>* O Submódulo 4.1 destina-se ao cálculo do custo estimado para a reposição de ausências legais do empregado residente.
* Na metodologia Seges computa-se o custo total de um empregado, com direito à remuneração, 13° salário, férias, encargos e benefícios, bem como probabilidade de rescisão, para a base de cálculo do presente submódulo que, em seguida, servirá para estipular o custo diário de um profissional para a contratação. 
* Com base neste custo diário estima-se o custo mensal com reposição de profissional ausente.</t>
  </si>
  <si>
    <t>Convenção Coletiva:</t>
  </si>
  <si>
    <t>PR000063/2026</t>
  </si>
  <si>
    <t xml:space="preserve">Piso Salarial - Serv. Gerais </t>
  </si>
  <si>
    <t>Piso Salarial - Serv. Copa, Cantina</t>
  </si>
  <si>
    <t>Mensal:</t>
  </si>
  <si>
    <t>Cargo C - Serv. Gerais Higiene 12x36 Noturno</t>
  </si>
  <si>
    <t>Cargo B - Serv. Gerais Higiene 12x36 Diurno</t>
  </si>
  <si>
    <t>Cargo A - Serv. Gerais Higiene 40h</t>
  </si>
  <si>
    <t>Cargo D - Copa/Cozinha 12x36 Diurno</t>
  </si>
  <si>
    <t>Cargo E - Copa/Cozinha 12x36 Intermediário</t>
  </si>
  <si>
    <t>Cargo F - Copa/Cozinha 12x36 Noturno</t>
  </si>
  <si>
    <t>Cargo G - Copa/Cozinha 40h</t>
  </si>
  <si>
    <t>Piso Salarial - Supervisor</t>
  </si>
  <si>
    <t>Cargo H - Serv. Gerais Higiene + Copa 40h</t>
  </si>
  <si>
    <t>Cargo J - Supervidor Demais Unidades</t>
  </si>
  <si>
    <t>Cargo I - Supervisor UPA</t>
  </si>
  <si>
    <t>Salário Minimo Nacional</t>
  </si>
  <si>
    <t>ADICIONAL DE INSALUBRIDADE</t>
  </si>
  <si>
    <t>3h- relógio de noturno</t>
  </si>
  <si>
    <t>Para fins de estimativa da Administração, adotou-se RAT de 3% e FAP 1,0000. Na proposta da licitante deverão ser observados o enquadramento e o FAP efetivamente aplicáveis à empresa, mediante comprovação quando exigida.</t>
  </si>
  <si>
    <t>Valor do Benefício:</t>
  </si>
  <si>
    <r>
      <rPr>
        <b/>
        <sz val="12"/>
        <color theme="1"/>
        <rFont val="Times New Roman"/>
        <family val="1"/>
      </rPr>
      <t>DEMAIS BENEFÍCIOS</t>
    </r>
    <r>
      <rPr>
        <sz val="12"/>
        <color theme="1"/>
        <rFont val="Times New Roman"/>
        <family val="1"/>
      </rPr>
      <t xml:space="preserve">
</t>
    </r>
    <r>
      <rPr>
        <sz val="12"/>
        <color rgb="FFFF0000"/>
        <rFont val="Times New Roman"/>
        <family val="1"/>
      </rPr>
      <t>Utilizar este campo em caso de outros benefícios previstos em Convenção Coletiva, sempre especificando o tipo, finalidade e previsão legal do mesmo.</t>
    </r>
  </si>
  <si>
    <t>DEMAIS BENEFÍCIOS</t>
  </si>
  <si>
    <t>AUXÍLIO SAÚDE</t>
  </si>
  <si>
    <t>BENEFÍCIO SOCIAL FAMILIAR</t>
  </si>
  <si>
    <t>FUNDO DE FORMAÇÃO PROFISSIONAL</t>
  </si>
  <si>
    <t>Auxílio Saúde</t>
  </si>
  <si>
    <t>Fundo de Formação Profissional</t>
  </si>
  <si>
    <t>Vale Alimentação</t>
  </si>
  <si>
    <t>Benefício Social Familiar</t>
  </si>
  <si>
    <t>Para fins de estimativa dos custos rescisórios, foram adotados parâmetros referenciais de desligamento do Caderno Técnico de Limpeza da SLTI/SEGES, considerando 65,71% para demissões sem justa causa, 1,00% para demissões com justa causa e 33,29% para outros tipos de desligamento. Para o desdobramento das demissões sem justa causa entre aviso-prévio indenizado e trabalhado, foram mantidos os parâmetros de 45% e 55%, respectivamente, constantes do modelo de planilha SEGES utilizado pela Administração</t>
  </si>
  <si>
    <t>MULTA DO FGTS SOBRE O AVISO PRÉVIO INDENIZADO</t>
  </si>
  <si>
    <t>MULTA DO FGTS SOBRE O AVISO PRÉVIO TRABALHADO</t>
  </si>
  <si>
    <t>40h</t>
  </si>
  <si>
    <t>40h SEMANAL</t>
  </si>
  <si>
    <r>
      <t>Nota metodológica:</t>
    </r>
    <r>
      <rPr>
        <sz val="11"/>
        <color theme="1"/>
        <rFont val="Calibri"/>
        <family val="2"/>
        <scheme val="minor"/>
      </rPr>
      <t xml:space="preserve"> As incidências anuais das ausências e as proporções de dias afetados foram adotadas com base nos parâmetros referenciais da metodologia SEGES para serviços de limpeza, utilizados para fins estimativos da Administração.</t>
    </r>
  </si>
  <si>
    <t>ESCALAS / JORNADAS APLICÁVEIS</t>
  </si>
  <si>
    <t>Não foi previsto custo de reposição de intrajornada, uma vez que a modelagem da contratação não exige substituição do profissional durante o período destinado ao intervalo intrajornada.</t>
  </si>
  <si>
    <t>Camisa/Camiseta</t>
  </si>
  <si>
    <t>TOTAL:</t>
  </si>
  <si>
    <t>Para a estimativa dos custos relativos aos uniformes, foi realizada pesquisa de preços com base em cinco contratações públicas promovidas por órgãos e entidades localizados no Estado do Paraná, cujos preços foram registrados no período de até 60 (sessenta) dias anteriores à realização da pesquisa. A seleção das referências buscou privilegiar itens com características compatíveis ou similares às especificações adotadas nesta contratação, de modo a obter parâmetros atuais e representativos do mercado público, conferindo maior consistência à formação do custo estimado dos uniformes.</t>
  </si>
  <si>
    <t>Para fins exclusivamente estimativos da composição do custo, adotou-se a premissa de 3 (três) conjuntos de uniforme por empregado ao ano, compostos por camiseta e calça. A quantidade constitui parâmetro para formação do orçamento estimado e não limita a obrigação da contratada de fornecer uniformes em quantidade suficiente e promover as substituições necessárias durante a execução contratual, conforme as condições estabelecidas no Termo de Referência. A CCT PR000063/2026 estabelece o fornecimento gratuito de uniformes, sem fixar quantitativo mínimo anual por empregado.</t>
  </si>
  <si>
    <t>ITEM</t>
  </si>
  <si>
    <t>QTDE</t>
  </si>
  <si>
    <t>R$ UNITÁRIO</t>
  </si>
  <si>
    <t>R$ TOTAL</t>
  </si>
  <si>
    <t>DESCRIÇÃO</t>
  </si>
  <si>
    <t>COTAÇÃO</t>
  </si>
  <si>
    <t>Luva de Borracha Cano Longo</t>
  </si>
  <si>
    <t>Bota/Calçado Impermeável de Segurança</t>
  </si>
  <si>
    <t>Óculos de Proteção</t>
  </si>
  <si>
    <t>Avental Impermeável</t>
  </si>
  <si>
    <t>Máscara de Proteção</t>
  </si>
  <si>
    <t xml:space="preserve">Touca Descartável </t>
  </si>
  <si>
    <t>EPI'S OU INSUMOS NECESSÁRIOS</t>
  </si>
  <si>
    <t>QTDE ANUAL</t>
  </si>
  <si>
    <t>CUSTO ANUAL</t>
  </si>
  <si>
    <t>CUSTO MENSAL</t>
  </si>
  <si>
    <t>01 Par</t>
  </si>
  <si>
    <t>01 Und</t>
  </si>
  <si>
    <t>Conforme Consumo</t>
  </si>
  <si>
    <t>01 Und/Dia</t>
  </si>
  <si>
    <t>As periodicidades indicadas constituem premissas estimativas exclusivamente para formação do orçamento da Administração, não correspondendo a prazo obrigatório de utilização dos EPIs. A contratada deverá promover a substituição sempre que o equipamento estiver danificado, deteriorado, extraviado ou inadequado à proteção requerida, observadas a NR-6, as especificações do fabricante, o respectivo Certificado de Aprovação – CA e os riscos identificados no PGR.</t>
  </si>
  <si>
    <t>2 meses</t>
  </si>
  <si>
    <t>6 meses</t>
  </si>
  <si>
    <t>12 meses</t>
  </si>
  <si>
    <t>descartável</t>
  </si>
  <si>
    <t>01 uso/dia</t>
  </si>
  <si>
    <t>Para a estimativa dos custos relativos aos uniformes, foi realizada pesquisa de preços com base em no máximo cinco contratações públicas promovidas por órgãos e entidades localizados no Estado do Paraná, cujos preços foram registrados no período de até 90 (noventa) dias anteriores à realização da pesquisa. A seleção das referências buscou privilegiar itens com características compatíveis ou similares às especificações adotadas nesta contratação, de modo a obter parâmetros atuais e representativos do mercado público, conferindo maior consistência à formação do custo estimado dos uniformes.</t>
  </si>
  <si>
    <t>CUSTO MENSAL DE EPIs E INSUMOS DE USO INDIVIDUAL</t>
  </si>
  <si>
    <t>Custo com EPI e Insumo de uso individual</t>
  </si>
  <si>
    <t>Para fins de formação do orçamento estimado, adotou-se o percentual de 3,00% para custos indiretos, em consonância com os parâmetros referenciais utilizados pela SEGES para serviços de limpeza e conservação. O percentual constitui premissa da Administração para estimativa da contratação, não representando margem obrigatória a ser adotada pelas licitantes.</t>
  </si>
  <si>
    <t>Para fins de elaboração do orçamento estimado da Administração, adotou-se como parâmetro tributário referencial o regime cumulativo de incidência do PIS e da COFINS, às alíquotas de 0,65% e 3,00%, respectivamente, acrescido do ISSQN à alíquota de 2,00% aplicável ao serviço no Município de Pato Branco, totalizando 5,65%. O percentual constitui premissa exclusiva para formação do orçamento estimado, devendo as licitantes observar, em suas propostas, o regime tributário e as alíquotas efetivamente aplicáveis</t>
  </si>
  <si>
    <r>
      <t xml:space="preserve">Importante: esse percentual é </t>
    </r>
    <r>
      <rPr>
        <b/>
        <sz val="10"/>
        <color theme="1"/>
        <rFont val="Calibri"/>
        <family val="2"/>
        <scheme val="minor"/>
      </rPr>
      <t>referencial para formar o orçamento estimado</t>
    </r>
    <r>
      <rPr>
        <sz val="10"/>
        <color theme="1"/>
        <rFont val="Calibri"/>
        <family val="2"/>
        <scheme val="minor"/>
      </rPr>
      <t>, não deve ser tratado no edital como margem obrigatória que a licitante necessariamente terá de reproduzir.</t>
    </r>
  </si>
  <si>
    <t>Cargo J - Supervisor Demais Unidades</t>
  </si>
  <si>
    <t>Reversão de provisões – demissão com justa causa</t>
  </si>
  <si>
    <t>Aviso Prévio Indenizado e multa do FGTS</t>
  </si>
  <si>
    <t>Aviso Prévio Trabalhado e multa do FGTS</t>
  </si>
  <si>
    <t>C.3. Tributos Municipais (ISSQN)</t>
  </si>
  <si>
    <t xml:space="preserve">C.1. Tributos Federais (PIS </t>
  </si>
  <si>
    <t>C.2. Tributos Federais (COFINS</t>
  </si>
  <si>
    <t>Custo Mensal de EPI e Demais Insumos</t>
  </si>
  <si>
    <t>Outros (Gratificação Função COPA)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</si>
</sst>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quot;R$&quot;\ * #,##0.00_ ;_ &quot;R$&quot;\ * \-#,##0.00_ ;_ &quot;R$&quot;\ * &quot;-&quot;??_ ;_ @_ "/>
    <numFmt numFmtId="164" formatCode="_-* #,##0.00_-;\-* #,##0.00_-;_-* &quot;-&quot;??_-;_-@_-"/>
    <numFmt numFmtId="165" formatCode="#,##0.00;[Red]#,##0.00"/>
    <numFmt numFmtId="166" formatCode="0.0000"/>
    <numFmt numFmtId="167" formatCode="#,##0.0000_ ;\-#,##0.0000\ "/>
    <numFmt numFmtId="168" formatCode="_(* #,##0.00_);_(* \(#,##0.00\);_(* \-??_);_(@_)"/>
    <numFmt numFmtId="174" formatCode="0.0000%"/>
  </numFmts>
  <fonts count="42" x14ac:knownFonts="1">
    <font>
      <sz val="11"/>
      <color theme="1"/>
      <name val="Calibri"/>
      <family val="2"/>
      <scheme val="minor"/>
    </font>
    <font>
      <sz val="11"/>
      <color theme="1"/>
      <name val="Calibri"/>
      <family val="2"/>
      <scheme val="minor"/>
    </font>
    <font>
      <b/>
      <sz val="12"/>
      <color theme="1"/>
      <name val="Times New Roman"/>
      <family val="1"/>
    </font>
    <font>
      <sz val="12"/>
      <color theme="1"/>
      <name val="Times New Roman"/>
      <family val="1"/>
    </font>
    <font>
      <b/>
      <sz val="12"/>
      <name val="Times New Roman"/>
      <family val="1"/>
    </font>
    <font>
      <sz val="10"/>
      <name val="Arial"/>
      <family val="2"/>
    </font>
    <font>
      <b/>
      <sz val="12"/>
      <color rgb="FF00B050"/>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64"/>
      <name val="Calibri"/>
      <family val="2"/>
      <scheme val="minor"/>
    </font>
    <font>
      <sz val="12"/>
      <color rgb="FFFF0000"/>
      <name val="Times New Roman"/>
      <family val="1"/>
    </font>
    <font>
      <sz val="9"/>
      <color indexed="81"/>
      <name val="Segoe UI"/>
      <family val="2"/>
    </font>
    <font>
      <b/>
      <sz val="9"/>
      <color indexed="81"/>
      <name val="Segoe UI"/>
      <family val="2"/>
    </font>
    <font>
      <b/>
      <sz val="12"/>
      <color rgb="FFFF0000"/>
      <name val="Times New Roman"/>
      <family val="1"/>
    </font>
    <font>
      <sz val="12"/>
      <name val="Times New Roman"/>
      <family val="1"/>
    </font>
    <font>
      <b/>
      <sz val="12"/>
      <color indexed="8"/>
      <name val="Times New Roman"/>
      <family val="1"/>
    </font>
    <font>
      <sz val="12"/>
      <color indexed="8"/>
      <name val="Times New Roman"/>
      <family val="1"/>
    </font>
    <font>
      <sz val="18"/>
      <color theme="0"/>
      <name val="Times New Roman"/>
      <family val="1"/>
    </font>
    <font>
      <sz val="10"/>
      <color theme="1"/>
      <name val="Times New Roman"/>
      <family val="1"/>
    </font>
    <font>
      <sz val="10"/>
      <color theme="1"/>
      <name val="Calibri"/>
      <family val="2"/>
      <scheme val="minor"/>
    </font>
    <font>
      <sz val="8"/>
      <color theme="1"/>
      <name val="Times New Roman"/>
      <family val="1"/>
    </font>
    <font>
      <i/>
      <sz val="12"/>
      <color indexed="8"/>
      <name val="Times New Roman"/>
      <family val="1"/>
    </font>
    <font>
      <sz val="10"/>
      <name val="Times New Roman"/>
      <family val="1"/>
    </font>
    <font>
      <b/>
      <sz val="10"/>
      <color theme="1"/>
      <name val="Calibri"/>
      <family val="2"/>
      <scheme val="minor"/>
    </font>
    <font>
      <strike/>
      <sz val="12"/>
      <color rgb="FFFF0000"/>
      <name val="Times New Roman"/>
      <family val="1"/>
    </font>
    <font>
      <strike/>
      <sz val="12"/>
      <color theme="1"/>
      <name val="Times New Roman"/>
      <family val="1"/>
    </font>
    <font>
      <b/>
      <strike/>
      <sz val="12"/>
      <color theme="1"/>
      <name val="Times New Roman"/>
      <family val="1"/>
    </font>
    <font>
      <i/>
      <sz val="12"/>
      <color theme="1"/>
      <name val="Times New Roman"/>
      <family val="1"/>
    </font>
  </fonts>
  <fills count="45">
    <fill>
      <patternFill patternType="none"/>
    </fill>
    <fill>
      <patternFill patternType="gray125"/>
    </fill>
    <fill>
      <patternFill patternType="solid">
        <fgColor theme="4" tint="0.39997558519241921"/>
        <bgColor indexed="64"/>
      </patternFill>
    </fill>
    <fill>
      <patternFill patternType="solid">
        <fgColor theme="4" tint="0.39997558519241921"/>
        <bgColor indexed="41"/>
      </patternFill>
    </fill>
    <fill>
      <patternFill patternType="solid">
        <fgColor theme="4" tint="0.39997558519241921"/>
        <b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rgb="FFFFFF00"/>
        <bgColor indexed="64"/>
      </patternFill>
    </fill>
    <fill>
      <patternFill patternType="solid">
        <fgColor theme="4"/>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8"/>
      </left>
      <right/>
      <top style="medium">
        <color indexed="8"/>
      </top>
      <bottom style="medium">
        <color indexed="64"/>
      </bottom>
      <diagonal/>
    </border>
    <border>
      <left/>
      <right/>
      <top style="medium">
        <color indexed="8"/>
      </top>
      <bottom style="medium">
        <color indexed="64"/>
      </bottom>
      <diagonal/>
    </border>
    <border>
      <left/>
      <right style="medium">
        <color indexed="8"/>
      </right>
      <top style="medium">
        <color indexed="8"/>
      </top>
      <bottom style="medium">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s>
  <cellStyleXfs count="54">
    <xf numFmtId="0" fontId="0" fillId="0" borderId="0"/>
    <xf numFmtId="9" fontId="1" fillId="0" borderId="0" applyFont="0" applyFill="0" applyBorder="0" applyAlignment="0" applyProtection="0"/>
    <xf numFmtId="164" fontId="1" fillId="0" borderId="0" applyFont="0" applyFill="0" applyBorder="0" applyAlignment="0" applyProtection="0"/>
    <xf numFmtId="168" fontId="5" fillId="0" borderId="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7" fillId="0" borderId="0" applyNumberFormat="0" applyFill="0" applyBorder="0" applyAlignment="0" applyProtection="0"/>
    <xf numFmtId="0" fontId="8" fillId="0" borderId="38" applyNumberFormat="0" applyFill="0" applyAlignment="0" applyProtection="0"/>
    <xf numFmtId="0" fontId="9" fillId="0" borderId="39" applyNumberFormat="0" applyFill="0" applyAlignment="0" applyProtection="0"/>
    <xf numFmtId="0" fontId="10" fillId="0" borderId="40" applyNumberFormat="0" applyFill="0" applyAlignment="0" applyProtection="0"/>
    <xf numFmtId="0" fontId="10" fillId="0" borderId="0" applyNumberFormat="0" applyFill="0" applyBorder="0" applyAlignment="0" applyProtection="0"/>
    <xf numFmtId="0" fontId="11" fillId="5" borderId="0" applyNumberFormat="0" applyBorder="0" applyAlignment="0" applyProtection="0"/>
    <xf numFmtId="0" fontId="12" fillId="6" borderId="0" applyNumberFormat="0" applyBorder="0" applyAlignment="0" applyProtection="0"/>
    <xf numFmtId="0" fontId="13" fillId="7" borderId="0" applyNumberFormat="0" applyBorder="0" applyAlignment="0" applyProtection="0"/>
    <xf numFmtId="0" fontId="14" fillId="8" borderId="41" applyNumberFormat="0" applyAlignment="0" applyProtection="0"/>
    <xf numFmtId="0" fontId="15" fillId="9" borderId="42" applyNumberFormat="0" applyAlignment="0" applyProtection="0"/>
    <xf numFmtId="0" fontId="16" fillId="9" borderId="41" applyNumberFormat="0" applyAlignment="0" applyProtection="0"/>
    <xf numFmtId="0" fontId="17" fillId="0" borderId="43" applyNumberFormat="0" applyFill="0" applyAlignment="0" applyProtection="0"/>
    <xf numFmtId="0" fontId="18" fillId="10" borderId="44" applyNumberFormat="0" applyAlignment="0" applyProtection="0"/>
    <xf numFmtId="0" fontId="19" fillId="0" borderId="0" applyNumberFormat="0" applyFill="0" applyBorder="0" applyAlignment="0" applyProtection="0"/>
    <xf numFmtId="0" fontId="1" fillId="11" borderId="45" applyNumberFormat="0" applyFont="0" applyAlignment="0" applyProtection="0"/>
    <xf numFmtId="0" fontId="20" fillId="0" borderId="0" applyNumberFormat="0" applyFill="0" applyBorder="0" applyAlignment="0" applyProtection="0"/>
    <xf numFmtId="0" fontId="21" fillId="0" borderId="46" applyNumberFormat="0" applyFill="0" applyAlignment="0" applyProtection="0"/>
    <xf numFmtId="0" fontId="22"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22" fillId="35" borderId="0" applyNumberFormat="0" applyBorder="0" applyAlignment="0" applyProtection="0"/>
    <xf numFmtId="164" fontId="1" fillId="0" borderId="0" applyFont="0" applyFill="0" applyBorder="0" applyAlignment="0" applyProtection="0"/>
    <xf numFmtId="0" fontId="2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4" fontId="1" fillId="0" borderId="0" applyFont="0" applyFill="0" applyBorder="0" applyAlignment="0" applyProtection="0"/>
  </cellStyleXfs>
  <cellXfs count="332">
    <xf numFmtId="0" fontId="0" fillId="0" borderId="0" xfId="0"/>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2" xfId="0" applyFont="1" applyFill="1" applyBorder="1" applyAlignment="1">
      <alignment horizontal="center" vertical="center" wrapText="1"/>
    </xf>
    <xf numFmtId="10" fontId="3" fillId="0" borderId="5" xfId="1" applyNumberFormat="1" applyFont="1" applyBorder="1" applyAlignment="1">
      <alignment horizontal="center" vertical="center"/>
    </xf>
    <xf numFmtId="10" fontId="3" fillId="0" borderId="3" xfId="1" applyNumberFormat="1" applyFont="1" applyBorder="1" applyAlignment="1">
      <alignment horizontal="center" vertical="center"/>
    </xf>
    <xf numFmtId="10" fontId="3" fillId="0" borderId="7" xfId="1" applyNumberFormat="1" applyFont="1" applyBorder="1" applyAlignment="1">
      <alignment horizontal="center" vertical="center"/>
    </xf>
    <xf numFmtId="1" fontId="3" fillId="0" borderId="1" xfId="0" applyNumberFormat="1" applyFont="1" applyBorder="1" applyAlignment="1">
      <alignment horizontal="center" vertical="center"/>
    </xf>
    <xf numFmtId="1" fontId="3" fillId="0" borderId="13" xfId="0" applyNumberFormat="1" applyFont="1" applyBorder="1" applyAlignment="1">
      <alignment horizontal="center" vertical="center"/>
    </xf>
    <xf numFmtId="0" fontId="3" fillId="0" borderId="0" xfId="0" applyFont="1" applyAlignment="1">
      <alignment vertical="center"/>
    </xf>
    <xf numFmtId="0" fontId="3" fillId="0" borderId="4" xfId="0" applyFont="1" applyBorder="1" applyAlignment="1">
      <alignment horizontal="center" vertical="center" wrapText="1"/>
    </xf>
    <xf numFmtId="0" fontId="3" fillId="0" borderId="24" xfId="0" applyFont="1" applyBorder="1" applyAlignment="1">
      <alignment horizontal="center" vertical="center" wrapText="1"/>
    </xf>
    <xf numFmtId="10" fontId="2" fillId="2" borderId="11" xfId="0" applyNumberFormat="1" applyFont="1" applyFill="1" applyBorder="1" applyAlignment="1">
      <alignment horizontal="center" vertical="center"/>
    </xf>
    <xf numFmtId="0" fontId="3" fillId="0" borderId="8" xfId="0" applyFont="1" applyBorder="1" applyAlignment="1">
      <alignment horizontal="center" vertical="center" wrapText="1"/>
    </xf>
    <xf numFmtId="0" fontId="2" fillId="2" borderId="30" xfId="0" applyFont="1" applyFill="1" applyBorder="1" applyAlignment="1">
      <alignment horizontal="center" vertical="center" wrapText="1"/>
    </xf>
    <xf numFmtId="0" fontId="2" fillId="0" borderId="0" xfId="0" applyFont="1" applyFill="1" applyBorder="1" applyAlignment="1">
      <alignment vertical="center"/>
    </xf>
    <xf numFmtId="0" fontId="3" fillId="0" borderId="0" xfId="0" applyFont="1" applyAlignment="1">
      <alignment horizontal="center" vertical="center"/>
    </xf>
    <xf numFmtId="0" fontId="2" fillId="2" borderId="1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3" fillId="0" borderId="2" xfId="0" applyFont="1" applyBorder="1" applyAlignment="1">
      <alignment horizontal="center" vertical="center" wrapText="1"/>
    </xf>
    <xf numFmtId="166" fontId="3" fillId="0" borderId="12" xfId="0" applyNumberFormat="1" applyFont="1" applyBorder="1" applyAlignment="1">
      <alignment horizontal="center" vertical="center" wrapText="1"/>
    </xf>
    <xf numFmtId="166" fontId="3" fillId="0" borderId="1" xfId="0" applyNumberFormat="1" applyFont="1" applyBorder="1" applyAlignment="1">
      <alignment horizontal="center" vertical="center" wrapText="1"/>
    </xf>
    <xf numFmtId="167" fontId="2" fillId="0" borderId="5" xfId="2" applyNumberFormat="1" applyFont="1" applyBorder="1" applyAlignment="1">
      <alignment horizontal="center" vertical="center" wrapText="1"/>
    </xf>
    <xf numFmtId="0" fontId="3" fillId="0" borderId="6" xfId="0" applyFont="1" applyBorder="1" applyAlignment="1">
      <alignment horizontal="center" vertical="center" wrapText="1"/>
    </xf>
    <xf numFmtId="166" fontId="3" fillId="0" borderId="3" xfId="0" applyNumberFormat="1" applyFont="1" applyBorder="1" applyAlignment="1">
      <alignment horizontal="center" vertical="center" wrapText="1"/>
    </xf>
    <xf numFmtId="166" fontId="3" fillId="0" borderId="5" xfId="0" applyNumberFormat="1" applyFont="1" applyBorder="1" applyAlignment="1">
      <alignment horizontal="center" vertical="center" wrapText="1"/>
    </xf>
    <xf numFmtId="166" fontId="3" fillId="0" borderId="25" xfId="0" applyNumberFormat="1" applyFont="1" applyBorder="1" applyAlignment="1">
      <alignment horizontal="center" vertical="center" wrapText="1"/>
    </xf>
    <xf numFmtId="166" fontId="3" fillId="0" borderId="26" xfId="0" applyNumberFormat="1" applyFont="1" applyBorder="1" applyAlignment="1">
      <alignment horizontal="center" vertical="center" wrapText="1"/>
    </xf>
    <xf numFmtId="0" fontId="2" fillId="2" borderId="1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166" fontId="2" fillId="2" borderId="15" xfId="0" applyNumberFormat="1" applyFont="1" applyFill="1" applyBorder="1" applyAlignment="1">
      <alignment horizontal="center" vertical="center" wrapText="1"/>
    </xf>
    <xf numFmtId="166" fontId="2" fillId="2" borderId="11" xfId="0" applyNumberFormat="1" applyFont="1" applyFill="1" applyBorder="1" applyAlignment="1">
      <alignment horizontal="center" vertical="center" wrapText="1"/>
    </xf>
    <xf numFmtId="166" fontId="3" fillId="0" borderId="1" xfId="0" applyNumberFormat="1" applyFont="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10" fontId="3" fillId="0" borderId="9"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6" xfId="1" applyNumberFormat="1" applyFont="1" applyFill="1" applyBorder="1" applyAlignment="1">
      <alignment horizontal="center" vertical="center"/>
    </xf>
    <xf numFmtId="166" fontId="3" fillId="0" borderId="1" xfId="0" applyNumberFormat="1" applyFont="1" applyFill="1" applyBorder="1" applyAlignment="1">
      <alignment horizontal="center" vertical="center" wrapText="1"/>
    </xf>
    <xf numFmtId="166" fontId="3" fillId="0" borderId="13" xfId="0" applyNumberFormat="1" applyFont="1" applyFill="1" applyBorder="1" applyAlignment="1">
      <alignment horizontal="center" vertical="center" wrapText="1"/>
    </xf>
    <xf numFmtId="0" fontId="3" fillId="0" borderId="12" xfId="0" applyFont="1" applyBorder="1" applyAlignment="1">
      <alignment horizontal="center" vertical="center"/>
    </xf>
    <xf numFmtId="0" fontId="3" fillId="0" borderId="1" xfId="0" applyFont="1" applyBorder="1" applyAlignment="1">
      <alignment horizontal="center" vertical="center"/>
    </xf>
    <xf numFmtId="9" fontId="3" fillId="0" borderId="1" xfId="1" applyFont="1" applyBorder="1" applyAlignment="1">
      <alignment horizontal="center" vertical="center"/>
    </xf>
    <xf numFmtId="165" fontId="3" fillId="0" borderId="1" xfId="0" applyNumberFormat="1" applyFont="1" applyBorder="1" applyAlignment="1">
      <alignment horizontal="center" vertical="center"/>
    </xf>
    <xf numFmtId="10" fontId="3" fillId="0" borderId="1" xfId="0" applyNumberFormat="1" applyFont="1" applyBorder="1" applyAlignment="1">
      <alignment horizontal="center" vertical="center"/>
    </xf>
    <xf numFmtId="10" fontId="3" fillId="0" borderId="1" xfId="1" applyNumberFormat="1" applyFont="1" applyBorder="1" applyAlignment="1">
      <alignment horizontal="center" vertical="center"/>
    </xf>
    <xf numFmtId="0" fontId="4" fillId="4" borderId="18" xfId="0" applyFont="1" applyFill="1" applyBorder="1" applyAlignment="1">
      <alignment horizontal="center" vertical="center"/>
    </xf>
    <xf numFmtId="0" fontId="4" fillId="4" borderId="20" xfId="0" applyFont="1" applyFill="1" applyBorder="1" applyAlignment="1">
      <alignment horizontal="center" vertical="center"/>
    </xf>
    <xf numFmtId="0" fontId="2" fillId="2" borderId="22" xfId="0" applyFont="1" applyFill="1" applyBorder="1" applyAlignment="1">
      <alignment horizontal="center"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24" fillId="0" borderId="0" xfId="0" applyFont="1" applyAlignment="1">
      <alignment horizontal="center" vertical="center" wrapText="1"/>
    </xf>
    <xf numFmtId="0" fontId="24" fillId="0" borderId="0" xfId="0" applyFont="1" applyAlignment="1">
      <alignment horizontal="center" vertical="center"/>
    </xf>
    <xf numFmtId="0" fontId="3" fillId="38" borderId="4" xfId="0" applyFont="1" applyFill="1" applyBorder="1" applyAlignment="1">
      <alignment horizontal="center" vertical="center" wrapText="1"/>
    </xf>
    <xf numFmtId="10" fontId="3" fillId="38" borderId="5" xfId="1" applyNumberFormat="1" applyFont="1" applyFill="1"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10" fontId="3" fillId="0" borderId="1" xfId="1" applyNumberFormat="1" applyFont="1" applyFill="1" applyBorder="1" applyAlignment="1" applyProtection="1">
      <alignment horizontal="center" vertical="center"/>
    </xf>
    <xf numFmtId="0" fontId="4" fillId="0" borderId="0" xfId="0" applyFont="1" applyFill="1" applyBorder="1" applyAlignment="1">
      <alignment vertical="center"/>
    </xf>
    <xf numFmtId="0" fontId="4" fillId="3" borderId="31" xfId="0" applyFont="1" applyFill="1" applyBorder="1" applyAlignment="1">
      <alignment horizontal="center" vertical="center"/>
    </xf>
    <xf numFmtId="168" fontId="4" fillId="3" borderId="31" xfId="3" applyFont="1" applyFill="1" applyBorder="1" applyAlignment="1" applyProtection="1">
      <alignment horizontal="center" vertical="center"/>
    </xf>
    <xf numFmtId="3" fontId="3" fillId="0" borderId="14" xfId="3" applyNumberFormat="1" applyFont="1" applyFill="1" applyBorder="1" applyAlignment="1" applyProtection="1">
      <alignment horizontal="center" vertical="center"/>
    </xf>
    <xf numFmtId="3" fontId="3" fillId="0" borderId="1" xfId="3" applyNumberFormat="1" applyFont="1" applyFill="1" applyBorder="1" applyAlignment="1" applyProtection="1">
      <alignment horizontal="center" vertical="center"/>
    </xf>
    <xf numFmtId="0" fontId="3" fillId="0" borderId="0" xfId="0" applyFont="1" applyBorder="1" applyAlignment="1">
      <alignment horizontal="center" vertical="center"/>
    </xf>
    <xf numFmtId="168" fontId="3" fillId="0" borderId="0" xfId="3" applyFont="1" applyFill="1" applyBorder="1" applyAlignment="1" applyProtection="1">
      <alignment horizontal="center" vertical="center"/>
    </xf>
    <xf numFmtId="0" fontId="4" fillId="0" borderId="0"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3" fillId="0" borderId="0" xfId="0" applyFont="1" applyFill="1" applyBorder="1" applyAlignment="1">
      <alignment horizontal="center" vertical="center"/>
    </xf>
    <xf numFmtId="0" fontId="30" fillId="0" borderId="8" xfId="0" applyFont="1" applyBorder="1" applyAlignment="1">
      <alignment horizontal="center" vertical="center"/>
    </xf>
    <xf numFmtId="1" fontId="30" fillId="0" borderId="14" xfId="3" applyNumberFormat="1" applyFont="1" applyBorder="1" applyAlignment="1">
      <alignment horizontal="center" vertical="center"/>
    </xf>
    <xf numFmtId="2" fontId="30" fillId="0" borderId="14" xfId="3" applyNumberFormat="1" applyFont="1" applyBorder="1" applyAlignment="1">
      <alignment horizontal="center" vertical="center"/>
    </xf>
    <xf numFmtId="4" fontId="30" fillId="0" borderId="14" xfId="3" applyNumberFormat="1" applyFont="1" applyBorder="1" applyAlignment="1">
      <alignment horizontal="center" vertical="center"/>
    </xf>
    <xf numFmtId="0" fontId="30" fillId="0" borderId="4" xfId="0" applyFont="1" applyBorder="1" applyAlignment="1">
      <alignment horizontal="center" vertical="center"/>
    </xf>
    <xf numFmtId="1" fontId="30" fillId="0" borderId="1" xfId="3" applyNumberFormat="1" applyFont="1" applyBorder="1" applyAlignment="1">
      <alignment horizontal="center" vertical="center"/>
    </xf>
    <xf numFmtId="2" fontId="30" fillId="0" borderId="1" xfId="3" applyNumberFormat="1" applyFont="1" applyBorder="1" applyAlignment="1">
      <alignment horizontal="center" vertical="center"/>
    </xf>
    <xf numFmtId="4" fontId="30" fillId="0" borderId="1" xfId="3" applyNumberFormat="1" applyFont="1" applyBorder="1" applyAlignment="1">
      <alignment horizontal="center" vertical="center"/>
    </xf>
    <xf numFmtId="4" fontId="4" fillId="3" borderId="49" xfId="0" applyNumberFormat="1" applyFont="1" applyFill="1" applyBorder="1" applyAlignment="1">
      <alignment horizontal="center" vertical="center"/>
    </xf>
    <xf numFmtId="0" fontId="4" fillId="3" borderId="10" xfId="0" applyFont="1" applyFill="1" applyBorder="1" applyAlignment="1">
      <alignment horizontal="center" vertical="center"/>
    </xf>
    <xf numFmtId="0" fontId="4" fillId="4" borderId="19" xfId="0" applyFont="1" applyFill="1" applyBorder="1" applyAlignment="1">
      <alignment horizontal="center" vertical="center" wrapText="1"/>
    </xf>
    <xf numFmtId="0" fontId="2" fillId="0" borderId="0" xfId="0" applyFont="1" applyAlignment="1">
      <alignment vertical="center"/>
    </xf>
    <xf numFmtId="0" fontId="2" fillId="0" borderId="31" xfId="0" applyFont="1" applyBorder="1" applyAlignment="1">
      <alignment horizontal="center" vertical="center" wrapText="1"/>
    </xf>
    <xf numFmtId="0" fontId="2" fillId="0" borderId="29"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49" xfId="0" applyFont="1" applyBorder="1" applyAlignment="1">
      <alignment vertical="center" wrapText="1"/>
    </xf>
    <xf numFmtId="10" fontId="3" fillId="0" borderId="49" xfId="0" applyNumberFormat="1" applyFont="1" applyBorder="1" applyAlignment="1">
      <alignment horizontal="center" vertical="center" wrapText="1"/>
    </xf>
    <xf numFmtId="10" fontId="3" fillId="36" borderId="5" xfId="1" applyNumberFormat="1" applyFont="1" applyFill="1" applyBorder="1" applyAlignment="1">
      <alignment horizontal="center" vertical="center"/>
    </xf>
    <xf numFmtId="0" fontId="3" fillId="0" borderId="49" xfId="0" applyFont="1" applyBorder="1" applyAlignment="1">
      <alignment horizontal="justify" vertical="center" wrapText="1"/>
    </xf>
    <xf numFmtId="0" fontId="2" fillId="0" borderId="29" xfId="0" applyFont="1" applyBorder="1" applyAlignment="1">
      <alignment vertical="center" wrapText="1"/>
    </xf>
    <xf numFmtId="0" fontId="3" fillId="0" borderId="0" xfId="0" applyFont="1"/>
    <xf numFmtId="0" fontId="2" fillId="0" borderId="32" xfId="0" applyFont="1" applyBorder="1" applyAlignment="1">
      <alignment horizontal="center" vertical="center" wrapText="1"/>
    </xf>
    <xf numFmtId="0" fontId="2" fillId="41" borderId="16" xfId="0" applyFont="1" applyFill="1" applyBorder="1" applyAlignment="1">
      <alignment horizontal="center" vertical="center"/>
    </xf>
    <xf numFmtId="10" fontId="2" fillId="41" borderId="17" xfId="1" applyNumberFormat="1" applyFont="1" applyFill="1" applyBorder="1" applyAlignment="1">
      <alignment horizontal="center" vertical="center"/>
    </xf>
    <xf numFmtId="10" fontId="3" fillId="36" borderId="1" xfId="0" applyNumberFormat="1" applyFont="1" applyFill="1" applyBorder="1" applyAlignment="1">
      <alignment horizontal="center" vertical="center"/>
    </xf>
    <xf numFmtId="0" fontId="2" fillId="0" borderId="0" xfId="0" applyFont="1" applyAlignment="1">
      <alignment horizontal="center" vertical="center"/>
    </xf>
    <xf numFmtId="0" fontId="24" fillId="0" borderId="0" xfId="0" applyFont="1" applyAlignment="1">
      <alignment horizontal="center" vertical="center"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0" xfId="0" applyFont="1" applyAlignment="1">
      <alignment horizontal="center" vertical="center"/>
    </xf>
    <xf numFmtId="0" fontId="2" fillId="2" borderId="11" xfId="0" applyFont="1" applyFill="1" applyBorder="1" applyAlignment="1">
      <alignment horizontal="center" vertical="center"/>
    </xf>
    <xf numFmtId="0" fontId="2" fillId="2" borderId="31" xfId="0" applyFont="1" applyFill="1" applyBorder="1" applyAlignment="1">
      <alignment horizontal="center" vertical="center"/>
    </xf>
    <xf numFmtId="0" fontId="29" fillId="3" borderId="10" xfId="0" applyFont="1" applyFill="1" applyBorder="1" applyAlignment="1">
      <alignment horizontal="center" vertical="center"/>
    </xf>
    <xf numFmtId="0" fontId="29" fillId="3" borderId="15" xfId="0" applyFont="1" applyFill="1" applyBorder="1" applyAlignment="1">
      <alignment horizontal="center" vertical="center"/>
    </xf>
    <xf numFmtId="0" fontId="29" fillId="3" borderId="15" xfId="0" applyFont="1" applyFill="1" applyBorder="1" applyAlignment="1">
      <alignment horizontal="center" vertical="center" wrapText="1"/>
    </xf>
    <xf numFmtId="0" fontId="2" fillId="0" borderId="0" xfId="0" applyFont="1" applyAlignment="1">
      <alignment horizontal="center" vertical="center"/>
    </xf>
    <xf numFmtId="0" fontId="2" fillId="2" borderId="0" xfId="0" applyFont="1" applyFill="1" applyBorder="1" applyAlignment="1">
      <alignment horizontal="center" vertical="center" wrapText="1"/>
    </xf>
    <xf numFmtId="0" fontId="24" fillId="0" borderId="0" xfId="0" applyFont="1" applyAlignment="1">
      <alignment horizontal="center" vertical="center"/>
    </xf>
    <xf numFmtId="0" fontId="2" fillId="0" borderId="29" xfId="0" applyFont="1" applyBorder="1" applyAlignment="1">
      <alignment horizontal="center" vertical="center" wrapText="1"/>
    </xf>
    <xf numFmtId="0" fontId="2" fillId="2" borderId="0" xfId="0" applyFont="1" applyFill="1" applyBorder="1" applyAlignment="1">
      <alignment horizontal="center" vertical="center"/>
    </xf>
    <xf numFmtId="0" fontId="24" fillId="0" borderId="0" xfId="0" applyFont="1" applyAlignment="1">
      <alignment horizontal="center" vertical="center"/>
    </xf>
    <xf numFmtId="0" fontId="4" fillId="2" borderId="50"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3" borderId="27"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53" xfId="0" applyFont="1" applyFill="1" applyBorder="1" applyAlignment="1">
      <alignment horizontal="center" vertical="center"/>
    </xf>
    <xf numFmtId="0" fontId="4" fillId="3" borderId="54" xfId="0" applyFont="1" applyFill="1" applyBorder="1" applyAlignment="1">
      <alignment horizontal="center" vertical="center"/>
    </xf>
    <xf numFmtId="0" fontId="4" fillId="3" borderId="55" xfId="0" applyFont="1" applyFill="1" applyBorder="1" applyAlignment="1">
      <alignment horizontal="center" vertical="center"/>
    </xf>
    <xf numFmtId="0" fontId="2" fillId="42" borderId="0" xfId="0" applyFont="1" applyFill="1" applyAlignment="1">
      <alignment horizontal="center" vertical="center"/>
    </xf>
    <xf numFmtId="0" fontId="2" fillId="2" borderId="1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31" fillId="42" borderId="0" xfId="0" applyFont="1" applyFill="1" applyAlignment="1">
      <alignment horizontal="center"/>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4" fillId="0" borderId="0" xfId="0" applyFont="1" applyAlignment="1">
      <alignment horizontal="left" vertical="center" wrapText="1"/>
    </xf>
    <xf numFmtId="0" fontId="2" fillId="2" borderId="27"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4" fillId="39" borderId="0" xfId="0" applyFont="1" applyFill="1" applyAlignment="1">
      <alignment horizontal="left" vertical="center" wrapText="1"/>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7" fillId="0" borderId="0" xfId="0" applyFont="1" applyAlignment="1">
      <alignment horizontal="center" vertical="center" wrapText="1"/>
    </xf>
    <xf numFmtId="0" fontId="3" fillId="0" borderId="0" xfId="0" applyFont="1" applyAlignment="1">
      <alignment horizontal="center" vertical="center" wrapText="1"/>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2" fillId="2" borderId="0" xfId="0" applyFont="1" applyFill="1" applyAlignment="1">
      <alignment horizontal="center" vertical="center"/>
    </xf>
    <xf numFmtId="0" fontId="2" fillId="40" borderId="0" xfId="0" applyFont="1" applyFill="1" applyBorder="1" applyAlignment="1">
      <alignment horizontal="center" vertical="center"/>
    </xf>
    <xf numFmtId="0" fontId="2" fillId="2" borderId="0" xfId="0" applyFont="1" applyFill="1" applyBorder="1" applyAlignment="1">
      <alignment horizontal="center" vertical="center"/>
    </xf>
    <xf numFmtId="0" fontId="24" fillId="0" borderId="0" xfId="0" applyFont="1" applyAlignment="1">
      <alignment horizontal="center"/>
    </xf>
    <xf numFmtId="0" fontId="2" fillId="40" borderId="0" xfId="0" applyFont="1" applyFill="1" applyBorder="1" applyAlignment="1">
      <alignment horizontal="center" vertical="center" wrapText="1"/>
    </xf>
    <xf numFmtId="165" fontId="2" fillId="0" borderId="1" xfId="0" applyNumberFormat="1" applyFont="1" applyBorder="1" applyAlignment="1">
      <alignment horizontal="center" vertical="center"/>
    </xf>
    <xf numFmtId="0" fontId="2" fillId="2" borderId="1" xfId="0" applyFont="1" applyFill="1" applyBorder="1" applyAlignment="1">
      <alignment horizontal="center" vertical="center"/>
    </xf>
    <xf numFmtId="44" fontId="3" fillId="0" borderId="0" xfId="53" applyFont="1" applyAlignment="1">
      <alignment horizontal="center" vertical="center"/>
    </xf>
    <xf numFmtId="0" fontId="3"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wrapText="1"/>
    </xf>
    <xf numFmtId="44" fontId="32" fillId="0" borderId="1" xfId="53" applyFont="1" applyBorder="1" applyAlignment="1">
      <alignment horizontal="center" vertical="center" wrapText="1"/>
    </xf>
    <xf numFmtId="44" fontId="2" fillId="0" borderId="1" xfId="53" applyFont="1" applyBorder="1" applyAlignment="1">
      <alignment horizontal="center" vertical="center"/>
    </xf>
    <xf numFmtId="44" fontId="2" fillId="0" borderId="0" xfId="53" applyFont="1" applyBorder="1" applyAlignment="1">
      <alignment horizontal="center" vertical="center"/>
    </xf>
    <xf numFmtId="0" fontId="3" fillId="0" borderId="56" xfId="0" applyFont="1" applyBorder="1" applyAlignment="1">
      <alignment horizontal="center" vertical="center"/>
    </xf>
    <xf numFmtId="44" fontId="3" fillId="0" borderId="1" xfId="53" applyFont="1" applyBorder="1" applyAlignment="1">
      <alignment horizontal="center" vertical="center"/>
    </xf>
    <xf numFmtId="0" fontId="32" fillId="0" borderId="1" xfId="0" applyFont="1" applyBorder="1" applyAlignment="1">
      <alignment horizontal="center" vertical="center"/>
    </xf>
    <xf numFmtId="44" fontId="32" fillId="0" borderId="1" xfId="53" applyFont="1" applyBorder="1" applyAlignment="1">
      <alignment horizontal="center" vertical="center"/>
    </xf>
    <xf numFmtId="10" fontId="3" fillId="0" borderId="1" xfId="1" applyNumberFormat="1" applyFont="1" applyFill="1" applyBorder="1" applyAlignment="1">
      <alignment horizontal="center" vertical="center"/>
    </xf>
    <xf numFmtId="174" fontId="3" fillId="0" borderId="1" xfId="1" applyNumberFormat="1" applyFont="1" applyFill="1" applyBorder="1" applyAlignment="1">
      <alignment horizontal="center" vertical="center"/>
    </xf>
    <xf numFmtId="0" fontId="32" fillId="0" borderId="56" xfId="0" applyFont="1" applyBorder="1" applyAlignment="1">
      <alignment horizontal="center" vertical="center"/>
    </xf>
    <xf numFmtId="0" fontId="2" fillId="2" borderId="1" xfId="0" applyFont="1" applyFill="1" applyBorder="1" applyAlignment="1">
      <alignment horizontal="center" vertical="center"/>
    </xf>
    <xf numFmtId="0" fontId="3" fillId="0" borderId="47" xfId="0" applyFont="1" applyBorder="1" applyAlignment="1">
      <alignment horizontal="center" vertical="center"/>
    </xf>
    <xf numFmtId="165" fontId="3" fillId="0" borderId="0" xfId="0" applyNumberFormat="1" applyFont="1" applyBorder="1" applyAlignment="1">
      <alignment horizontal="center" vertical="center"/>
    </xf>
    <xf numFmtId="10" fontId="3" fillId="0" borderId="0" xfId="1" applyNumberFormat="1" applyFont="1" applyBorder="1" applyAlignment="1">
      <alignment horizontal="center" vertical="center"/>
    </xf>
    <xf numFmtId="9" fontId="3" fillId="0" borderId="0" xfId="1" applyFont="1" applyBorder="1" applyAlignment="1">
      <alignment horizontal="center" vertical="center"/>
    </xf>
    <xf numFmtId="165" fontId="2" fillId="0" borderId="57" xfId="0" applyNumberFormat="1" applyFont="1" applyBorder="1" applyAlignment="1">
      <alignment horizontal="center" vertical="center"/>
    </xf>
    <xf numFmtId="0" fontId="2" fillId="2" borderId="48"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49" xfId="0" applyFont="1" applyFill="1" applyBorder="1" applyAlignment="1">
      <alignment horizontal="center" vertical="center"/>
    </xf>
    <xf numFmtId="165" fontId="2" fillId="0" borderId="0" xfId="0" applyNumberFormat="1" applyFont="1" applyBorder="1" applyAlignment="1">
      <alignment horizontal="center" vertical="center"/>
    </xf>
    <xf numFmtId="0" fontId="24" fillId="0" borderId="1" xfId="0" applyFont="1" applyBorder="1" applyAlignment="1">
      <alignment horizontal="center" vertical="center"/>
    </xf>
    <xf numFmtId="10" fontId="24" fillId="0" borderId="1" xfId="1" applyNumberFormat="1" applyFont="1" applyBorder="1" applyAlignment="1">
      <alignment horizontal="center" vertical="center"/>
    </xf>
    <xf numFmtId="9" fontId="24" fillId="0" borderId="1" xfId="1" applyFont="1" applyBorder="1" applyAlignment="1">
      <alignment horizontal="center" vertical="center"/>
    </xf>
    <xf numFmtId="46" fontId="3" fillId="0" borderId="0" xfId="0" applyNumberFormat="1" applyFont="1" applyAlignment="1">
      <alignment horizontal="center" vertical="center"/>
    </xf>
    <xf numFmtId="0" fontId="34" fillId="0" borderId="0" xfId="0" applyFont="1" applyAlignment="1">
      <alignment horizontal="center" vertical="center"/>
    </xf>
    <xf numFmtId="44" fontId="24" fillId="0" borderId="1" xfId="53" applyFont="1" applyBorder="1" applyAlignment="1">
      <alignment horizontal="center" vertical="center"/>
    </xf>
    <xf numFmtId="44" fontId="27" fillId="0" borderId="1" xfId="53" applyFont="1" applyBorder="1" applyAlignment="1">
      <alignment horizontal="center" vertical="center"/>
    </xf>
    <xf numFmtId="0" fontId="2" fillId="2" borderId="1" xfId="0" applyFont="1" applyFill="1" applyBorder="1" applyAlignment="1">
      <alignment horizontal="center" vertical="center" wrapText="1"/>
    </xf>
    <xf numFmtId="0" fontId="28" fillId="0" borderId="1" xfId="0" applyFont="1" applyBorder="1" applyAlignment="1">
      <alignment horizontal="center" vertical="center"/>
    </xf>
    <xf numFmtId="0" fontId="28" fillId="0" borderId="1" xfId="0" applyFont="1" applyBorder="1" applyAlignment="1">
      <alignment horizontal="center" vertical="center" wrapText="1"/>
    </xf>
    <xf numFmtId="44" fontId="28" fillId="0" borderId="1" xfId="53" applyFont="1" applyBorder="1" applyAlignment="1">
      <alignment horizontal="center" vertical="center"/>
    </xf>
    <xf numFmtId="44" fontId="4" fillId="0" borderId="1" xfId="53" applyFont="1" applyBorder="1" applyAlignment="1">
      <alignment horizontal="center" vertical="center"/>
    </xf>
    <xf numFmtId="44" fontId="3" fillId="0" borderId="12" xfId="53" applyFont="1" applyBorder="1" applyAlignment="1">
      <alignment horizontal="center" vertical="center"/>
    </xf>
    <xf numFmtId="44" fontId="2" fillId="0" borderId="3" xfId="53" applyFont="1" applyBorder="1" applyAlignment="1">
      <alignment horizontal="center" vertical="center"/>
    </xf>
    <xf numFmtId="0" fontId="0" fillId="0" borderId="47" xfId="0" applyBorder="1" applyAlignment="1">
      <alignment horizontal="center" wrapText="1"/>
    </xf>
    <xf numFmtId="0" fontId="0" fillId="0" borderId="0" xfId="0" applyAlignment="1">
      <alignment horizontal="center" wrapText="1"/>
    </xf>
    <xf numFmtId="0" fontId="29" fillId="3" borderId="27" xfId="0" applyFont="1" applyFill="1" applyBorder="1" applyAlignment="1">
      <alignment horizontal="center" vertical="center"/>
    </xf>
    <xf numFmtId="0" fontId="29" fillId="3" borderId="28" xfId="0" applyFont="1" applyFill="1" applyBorder="1" applyAlignment="1">
      <alignment horizontal="center" vertical="center"/>
    </xf>
    <xf numFmtId="0" fontId="29" fillId="3" borderId="2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7" xfId="0" applyFont="1" applyFill="1" applyBorder="1" applyAlignment="1">
      <alignment horizontal="center" vertical="center"/>
    </xf>
    <xf numFmtId="44" fontId="3" fillId="0" borderId="13" xfId="53" applyFont="1" applyBorder="1" applyAlignment="1">
      <alignment horizontal="center" vertical="center"/>
    </xf>
    <xf numFmtId="0" fontId="32" fillId="0" borderId="1" xfId="0" applyFont="1" applyFill="1" applyBorder="1" applyAlignment="1">
      <alignment horizontal="center" vertical="center"/>
    </xf>
    <xf numFmtId="44" fontId="32" fillId="0" borderId="1" xfId="53" applyFont="1" applyFill="1" applyBorder="1" applyAlignment="1">
      <alignment horizontal="center" vertical="center"/>
    </xf>
    <xf numFmtId="44" fontId="3" fillId="0" borderId="1" xfId="0" applyNumberFormat="1" applyFont="1" applyFill="1" applyBorder="1" applyAlignment="1">
      <alignment horizontal="center" vertical="center"/>
    </xf>
    <xf numFmtId="9" fontId="3" fillId="0" borderId="1" xfId="1" applyFont="1" applyFill="1" applyBorder="1" applyAlignment="1">
      <alignment horizontal="center" vertical="center"/>
    </xf>
    <xf numFmtId="0" fontId="28" fillId="0" borderId="0" xfId="0" applyFont="1" applyBorder="1" applyAlignment="1">
      <alignment horizontal="center" vertical="center"/>
    </xf>
    <xf numFmtId="0" fontId="2" fillId="2" borderId="23" xfId="0" applyFont="1" applyFill="1" applyBorder="1" applyAlignment="1">
      <alignment horizontal="center" vertical="center" wrapText="1"/>
    </xf>
    <xf numFmtId="44" fontId="27" fillId="0" borderId="0" xfId="53" applyFont="1" applyBorder="1" applyAlignment="1">
      <alignment horizontal="center" vertical="center"/>
    </xf>
    <xf numFmtId="0" fontId="2" fillId="2" borderId="30" xfId="0" applyFont="1" applyFill="1" applyBorder="1" applyAlignment="1">
      <alignment horizontal="center" vertical="center"/>
    </xf>
    <xf numFmtId="44" fontId="32" fillId="0" borderId="0" xfId="53" applyFont="1" applyFill="1" applyBorder="1" applyAlignment="1">
      <alignment horizontal="center" vertical="center"/>
    </xf>
    <xf numFmtId="40" fontId="2" fillId="0" borderId="0" xfId="0" applyNumberFormat="1" applyFont="1" applyBorder="1" applyAlignment="1">
      <alignment horizontal="center" vertical="center"/>
    </xf>
    <xf numFmtId="165" fontId="2" fillId="0" borderId="0" xfId="0" applyNumberFormat="1" applyFont="1" applyFill="1" applyBorder="1" applyAlignment="1">
      <alignment horizontal="center" vertical="center"/>
    </xf>
    <xf numFmtId="0" fontId="29" fillId="3" borderId="59" xfId="0" applyFont="1" applyFill="1" applyBorder="1" applyAlignment="1">
      <alignment horizontal="center" vertical="center" wrapText="1"/>
    </xf>
    <xf numFmtId="0" fontId="2" fillId="0" borderId="0" xfId="0" applyFont="1" applyFill="1" applyBorder="1" applyAlignment="1">
      <alignment horizontal="center" vertical="center"/>
    </xf>
    <xf numFmtId="44" fontId="2" fillId="0" borderId="5" xfId="53" applyFont="1" applyBorder="1" applyAlignment="1">
      <alignment horizontal="center" vertical="center"/>
    </xf>
    <xf numFmtId="44" fontId="2" fillId="0" borderId="7" xfId="53" applyFont="1" applyBorder="1" applyAlignment="1">
      <alignment horizontal="center" vertical="center"/>
    </xf>
    <xf numFmtId="0" fontId="0" fillId="0" borderId="47" xfId="0"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pplyAlignment="1">
      <alignment horizontal="center" vertical="center" wrapText="1"/>
    </xf>
    <xf numFmtId="44" fontId="3" fillId="0" borderId="1" xfId="53" applyFont="1" applyFill="1" applyBorder="1" applyAlignment="1">
      <alignment horizontal="center" vertical="center"/>
    </xf>
    <xf numFmtId="44" fontId="2" fillId="0" borderId="1" xfId="53" applyFont="1" applyFill="1" applyBorder="1" applyAlignment="1">
      <alignment horizontal="center" vertical="center"/>
    </xf>
    <xf numFmtId="44" fontId="24" fillId="0" borderId="1" xfId="53"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0" xfId="0" applyFont="1" applyFill="1" applyBorder="1" applyAlignment="1">
      <alignment vertical="center" wrapText="1"/>
    </xf>
    <xf numFmtId="9" fontId="3" fillId="0" borderId="1" xfId="1" applyFont="1" applyBorder="1" applyAlignment="1">
      <alignment horizontal="center" vertical="center" wrapText="1"/>
    </xf>
    <xf numFmtId="167" fontId="2" fillId="0" borderId="1" xfId="2" applyNumberFormat="1" applyFont="1" applyBorder="1" applyAlignment="1">
      <alignment horizontal="center" vertical="center" wrapText="1"/>
    </xf>
    <xf numFmtId="10" fontId="3" fillId="0" borderId="1" xfId="1" applyNumberFormat="1"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13" xfId="0" applyFont="1" applyBorder="1" applyAlignment="1">
      <alignment horizontal="center" vertical="center" wrapText="1"/>
    </xf>
    <xf numFmtId="9" fontId="3" fillId="0" borderId="13" xfId="1" applyFont="1" applyBorder="1" applyAlignment="1">
      <alignment horizontal="center" vertical="center" wrapText="1"/>
    </xf>
    <xf numFmtId="167" fontId="2" fillId="0" borderId="13" xfId="2" applyNumberFormat="1" applyFont="1" applyBorder="1" applyAlignment="1">
      <alignment horizontal="center" vertical="center" wrapText="1"/>
    </xf>
    <xf numFmtId="10" fontId="3" fillId="0" borderId="13" xfId="1" applyNumberFormat="1" applyFont="1" applyBorder="1" applyAlignment="1">
      <alignment horizontal="center" vertical="center" wrapText="1"/>
    </xf>
    <xf numFmtId="0" fontId="21" fillId="0" borderId="0" xfId="0" applyFont="1" applyAlignment="1">
      <alignment horizontal="center" wrapText="1"/>
    </xf>
    <xf numFmtId="0" fontId="28" fillId="0" borderId="4"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43" borderId="47" xfId="0" applyFill="1" applyBorder="1" applyAlignment="1">
      <alignment horizontal="center" vertical="center" wrapText="1"/>
    </xf>
    <xf numFmtId="0" fontId="0" fillId="43" borderId="0" xfId="0" applyFill="1" applyAlignment="1">
      <alignment horizontal="center" vertical="center" wrapText="1"/>
    </xf>
    <xf numFmtId="0" fontId="28" fillId="0" borderId="12" xfId="0" applyFont="1" applyFill="1" applyBorder="1" applyAlignment="1">
      <alignment horizontal="center" vertical="center"/>
    </xf>
    <xf numFmtId="44" fontId="28" fillId="0" borderId="12" xfId="53" applyFont="1" applyFill="1" applyBorder="1" applyAlignment="1">
      <alignment horizontal="center" vertical="center"/>
    </xf>
    <xf numFmtId="44" fontId="4" fillId="0" borderId="3" xfId="53" applyFont="1" applyFill="1" applyBorder="1" applyAlignment="1">
      <alignment horizontal="center" vertical="center"/>
    </xf>
    <xf numFmtId="0" fontId="32" fillId="0" borderId="0" xfId="0" applyFont="1" applyAlignment="1">
      <alignment horizontal="center" vertical="center" wrapText="1"/>
    </xf>
    <xf numFmtId="0" fontId="33" fillId="0" borderId="0" xfId="0" applyFont="1" applyAlignment="1">
      <alignment horizontal="center" wrapText="1"/>
    </xf>
    <xf numFmtId="0" fontId="33" fillId="0" borderId="0" xfId="0" applyFont="1" applyAlignment="1">
      <alignment wrapText="1"/>
    </xf>
    <xf numFmtId="44" fontId="3" fillId="0" borderId="33" xfId="53" applyFont="1" applyBorder="1" applyAlignment="1">
      <alignment horizontal="center" vertical="center"/>
    </xf>
    <xf numFmtId="44" fontId="3" fillId="0" borderId="33" xfId="0" applyNumberFormat="1" applyFont="1" applyBorder="1" applyAlignment="1">
      <alignment horizontal="center" vertical="center"/>
    </xf>
    <xf numFmtId="0" fontId="32" fillId="0" borderId="1" xfId="0" applyFont="1" applyBorder="1" applyAlignment="1">
      <alignment horizontal="center" vertical="center" wrapText="1"/>
    </xf>
    <xf numFmtId="0" fontId="33" fillId="0" borderId="1" xfId="0" applyFont="1" applyBorder="1" applyAlignment="1">
      <alignment horizontal="center" wrapText="1"/>
    </xf>
    <xf numFmtId="0" fontId="32" fillId="0" borderId="1" xfId="0" applyFont="1" applyBorder="1" applyAlignment="1">
      <alignment horizontal="center" wrapText="1"/>
    </xf>
    <xf numFmtId="4" fontId="4" fillId="0" borderId="0" xfId="0" applyNumberFormat="1" applyFont="1" applyFill="1" applyBorder="1" applyAlignment="1">
      <alignment horizontal="center" vertical="center"/>
    </xf>
    <xf numFmtId="44" fontId="3" fillId="0" borderId="14" xfId="53" applyFont="1" applyFill="1" applyBorder="1" applyAlignment="1" applyProtection="1">
      <alignment horizontal="center" vertical="center"/>
    </xf>
    <xf numFmtId="44" fontId="28" fillId="0" borderId="52" xfId="53" applyFont="1" applyFill="1" applyBorder="1" applyAlignment="1">
      <alignment horizontal="center" vertical="center"/>
    </xf>
    <xf numFmtId="44" fontId="3" fillId="0" borderId="1" xfId="53" applyFont="1" applyFill="1" applyBorder="1" applyAlignment="1" applyProtection="1">
      <alignment horizontal="center" vertical="center"/>
    </xf>
    <xf numFmtId="44" fontId="4" fillId="3" borderId="32" xfId="53" applyFont="1" applyFill="1" applyBorder="1" applyAlignment="1">
      <alignment horizontal="center" vertical="center"/>
    </xf>
    <xf numFmtId="44" fontId="4" fillId="0" borderId="1" xfId="53" applyFont="1" applyFill="1" applyBorder="1" applyAlignment="1" applyProtection="1">
      <alignment horizontal="center" vertical="center"/>
    </xf>
    <xf numFmtId="168" fontId="4" fillId="3" borderId="20" xfId="0" applyNumberFormat="1" applyFont="1" applyFill="1" applyBorder="1" applyAlignment="1">
      <alignment horizontal="center" vertical="center" wrapText="1"/>
    </xf>
    <xf numFmtId="44" fontId="4" fillId="0" borderId="1" xfId="53" applyFont="1" applyFill="1" applyBorder="1" applyAlignment="1">
      <alignment horizontal="center" vertical="center"/>
    </xf>
    <xf numFmtId="44" fontId="30" fillId="0" borderId="58" xfId="53" applyFont="1" applyBorder="1" applyAlignment="1">
      <alignment horizontal="center" vertical="center"/>
    </xf>
    <xf numFmtId="44" fontId="3" fillId="0" borderId="9" xfId="53" applyFont="1" applyBorder="1" applyAlignment="1">
      <alignment horizontal="center" vertical="center"/>
    </xf>
    <xf numFmtId="44" fontId="2" fillId="2" borderId="31" xfId="53" applyFont="1" applyFill="1" applyBorder="1" applyAlignment="1">
      <alignment horizontal="center" vertical="center"/>
    </xf>
    <xf numFmtId="44" fontId="4" fillId="3" borderId="49" xfId="53" applyFont="1" applyFill="1" applyBorder="1" applyAlignment="1">
      <alignment horizontal="center" vertical="center"/>
    </xf>
    <xf numFmtId="44" fontId="30" fillId="37" borderId="14" xfId="53" applyFont="1" applyFill="1" applyBorder="1" applyAlignment="1">
      <alignment horizontal="center" vertical="center"/>
    </xf>
    <xf numFmtId="44" fontId="30" fillId="37" borderId="1" xfId="53" applyFont="1" applyFill="1" applyBorder="1" applyAlignment="1">
      <alignment horizontal="center" vertical="center"/>
    </xf>
    <xf numFmtId="44" fontId="35" fillId="0" borderId="58" xfId="53" applyFont="1" applyBorder="1" applyAlignment="1">
      <alignment horizontal="center" vertical="center"/>
    </xf>
    <xf numFmtId="44" fontId="28" fillId="0" borderId="1" xfId="53" applyFont="1" applyFill="1" applyBorder="1" applyAlignment="1">
      <alignment horizontal="center" vertical="center"/>
    </xf>
    <xf numFmtId="0" fontId="33" fillId="0" borderId="1" xfId="0" applyFont="1" applyBorder="1" applyAlignment="1">
      <alignment horizontal="center" vertical="center" wrapText="1"/>
    </xf>
    <xf numFmtId="10" fontId="28" fillId="0" borderId="1" xfId="1" applyNumberFormat="1" applyFont="1" applyBorder="1" applyAlignment="1">
      <alignment horizontal="center" vertical="center"/>
    </xf>
    <xf numFmtId="0" fontId="36" fillId="0" borderId="1" xfId="0" applyFont="1" applyBorder="1" applyAlignment="1">
      <alignment horizontal="center" vertical="center" wrapText="1"/>
    </xf>
    <xf numFmtId="0" fontId="38" fillId="0" borderId="0" xfId="0" applyFont="1" applyAlignment="1">
      <alignment horizontal="left" vertical="center" wrapText="1"/>
    </xf>
    <xf numFmtId="0" fontId="39" fillId="0" borderId="0" xfId="0" applyFont="1" applyAlignment="1">
      <alignment horizontal="center" vertical="center"/>
    </xf>
    <xf numFmtId="0" fontId="40" fillId="2" borderId="27" xfId="0" applyFont="1" applyFill="1" applyBorder="1" applyAlignment="1">
      <alignment horizontal="center" vertical="center"/>
    </xf>
    <xf numFmtId="0" fontId="40" fillId="2" borderId="28" xfId="0" applyFont="1" applyFill="1" applyBorder="1" applyAlignment="1">
      <alignment horizontal="center" vertical="center"/>
    </xf>
    <xf numFmtId="0" fontId="40" fillId="2" borderId="29" xfId="0" applyFont="1" applyFill="1" applyBorder="1" applyAlignment="1">
      <alignment horizontal="center" vertical="center"/>
    </xf>
    <xf numFmtId="0" fontId="40" fillId="2" borderId="18" xfId="0" applyFont="1" applyFill="1" applyBorder="1" applyAlignment="1">
      <alignment horizontal="center" vertical="center"/>
    </xf>
    <xf numFmtId="0" fontId="40" fillId="2" borderId="19" xfId="0" applyFont="1" applyFill="1" applyBorder="1" applyAlignment="1">
      <alignment horizontal="center" vertical="center"/>
    </xf>
    <xf numFmtId="0" fontId="40" fillId="2" borderId="20" xfId="0" applyFont="1" applyFill="1" applyBorder="1" applyAlignment="1">
      <alignment horizontal="center" vertical="center"/>
    </xf>
    <xf numFmtId="0" fontId="39" fillId="0" borderId="2" xfId="0" applyFont="1" applyBorder="1" applyAlignment="1">
      <alignment horizontal="center" vertical="center"/>
    </xf>
    <xf numFmtId="165" fontId="39" fillId="0" borderId="12" xfId="0" applyNumberFormat="1" applyFont="1" applyBorder="1" applyAlignment="1">
      <alignment horizontal="center" vertical="center"/>
    </xf>
    <xf numFmtId="0" fontId="39" fillId="0" borderId="12" xfId="0" applyFont="1" applyBorder="1" applyAlignment="1">
      <alignment horizontal="center" vertical="center"/>
    </xf>
    <xf numFmtId="165" fontId="40" fillId="0" borderId="3" xfId="0" applyNumberFormat="1" applyFont="1" applyBorder="1" applyAlignment="1">
      <alignment horizontal="center" vertical="center"/>
    </xf>
    <xf numFmtId="0" fontId="39" fillId="0" borderId="4" xfId="0" applyFont="1" applyBorder="1" applyAlignment="1">
      <alignment horizontal="center" vertical="center"/>
    </xf>
    <xf numFmtId="165" fontId="39" fillId="0" borderId="1" xfId="0" applyNumberFormat="1" applyFont="1" applyBorder="1" applyAlignment="1">
      <alignment horizontal="center" vertical="center"/>
    </xf>
    <xf numFmtId="0" fontId="39" fillId="0" borderId="1" xfId="0" applyFont="1" applyBorder="1" applyAlignment="1">
      <alignment horizontal="center" vertical="center"/>
    </xf>
    <xf numFmtId="165" fontId="40" fillId="0" borderId="5" xfId="0" applyNumberFormat="1" applyFont="1" applyBorder="1" applyAlignment="1">
      <alignment horizontal="center" vertical="center"/>
    </xf>
    <xf numFmtId="0" fontId="39" fillId="0" borderId="6" xfId="0" applyFont="1" applyBorder="1" applyAlignment="1">
      <alignment horizontal="center" vertical="center"/>
    </xf>
    <xf numFmtId="165" fontId="39" fillId="0" borderId="13" xfId="0" applyNumberFormat="1" applyFont="1" applyBorder="1" applyAlignment="1">
      <alignment horizontal="center" vertical="center"/>
    </xf>
    <xf numFmtId="0" fontId="39" fillId="0" borderId="13" xfId="0" applyFont="1" applyBorder="1" applyAlignment="1">
      <alignment horizontal="center" vertical="center"/>
    </xf>
    <xf numFmtId="165" fontId="40" fillId="0" borderId="7" xfId="0" applyNumberFormat="1" applyFont="1" applyBorder="1" applyAlignment="1">
      <alignment horizontal="center" vertical="center"/>
    </xf>
    <xf numFmtId="0" fontId="40" fillId="0" borderId="0" xfId="0" applyFont="1" applyAlignment="1">
      <alignment horizontal="center" vertical="center"/>
    </xf>
    <xf numFmtId="0" fontId="6" fillId="0" borderId="1" xfId="0" applyFont="1" applyBorder="1" applyAlignment="1">
      <alignment horizontal="center" vertical="center" wrapText="1"/>
    </xf>
    <xf numFmtId="44" fontId="3" fillId="0" borderId="1" xfId="53" applyFont="1" applyBorder="1" applyAlignment="1">
      <alignment horizontal="center" vertical="center" wrapText="1"/>
    </xf>
    <xf numFmtId="44" fontId="6" fillId="0" borderId="1" xfId="53" applyFont="1" applyBorder="1" applyAlignment="1">
      <alignment horizontal="center" vertical="center" wrapText="1"/>
    </xf>
    <xf numFmtId="44" fontId="2" fillId="2" borderId="1" xfId="53" applyFont="1" applyFill="1" applyBorder="1" applyAlignment="1">
      <alignment horizontal="center" vertical="center" wrapText="1"/>
    </xf>
    <xf numFmtId="0" fontId="2" fillId="44" borderId="1" xfId="0" applyFont="1" applyFill="1" applyBorder="1" applyAlignment="1">
      <alignment horizontal="center" vertical="center" wrapText="1"/>
    </xf>
    <xf numFmtId="0" fontId="2" fillId="44" borderId="61" xfId="0" applyFont="1" applyFill="1" applyBorder="1" applyAlignment="1">
      <alignment horizontal="center" vertical="center"/>
    </xf>
    <xf numFmtId="0" fontId="2" fillId="44" borderId="62" xfId="0" applyFont="1" applyFill="1" applyBorder="1" applyAlignment="1">
      <alignment horizontal="center" vertical="center"/>
    </xf>
    <xf numFmtId="44" fontId="3" fillId="0" borderId="0" xfId="0" applyNumberFormat="1" applyFont="1" applyAlignment="1">
      <alignment horizontal="center" vertical="center"/>
    </xf>
    <xf numFmtId="44" fontId="3" fillId="0" borderId="1" xfId="0" applyNumberFormat="1" applyFont="1" applyBorder="1" applyAlignment="1">
      <alignment horizontal="center" vertical="center" wrapText="1"/>
    </xf>
    <xf numFmtId="44" fontId="3" fillId="0" borderId="49" xfId="0" applyNumberFormat="1" applyFont="1" applyBorder="1" applyAlignment="1">
      <alignment horizontal="center" vertical="center" wrapText="1"/>
    </xf>
    <xf numFmtId="44" fontId="3" fillId="0" borderId="49" xfId="53" applyFont="1" applyBorder="1" applyAlignment="1">
      <alignment horizontal="center" vertical="center" wrapText="1"/>
    </xf>
    <xf numFmtId="0" fontId="3" fillId="0" borderId="48" xfId="0" applyFont="1" applyBorder="1" applyAlignment="1">
      <alignment horizontal="center" vertical="center" wrapText="1"/>
    </xf>
    <xf numFmtId="10" fontId="3" fillId="36" borderId="49" xfId="0" applyNumberFormat="1" applyFont="1" applyFill="1" applyBorder="1" applyAlignment="1">
      <alignment horizontal="center" vertical="center" wrapText="1"/>
    </xf>
    <xf numFmtId="0" fontId="3" fillId="0" borderId="60" xfId="0" applyFont="1" applyBorder="1" applyAlignment="1">
      <alignment horizontal="center" vertical="center" wrapText="1"/>
    </xf>
    <xf numFmtId="0" fontId="3" fillId="0" borderId="57" xfId="0" applyFont="1" applyBorder="1" applyAlignment="1">
      <alignment horizontal="justify" vertical="center" wrapText="1"/>
    </xf>
    <xf numFmtId="44" fontId="3" fillId="0" borderId="57" xfId="0" applyNumberFormat="1"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3" fillId="0" borderId="1" xfId="0" applyFont="1" applyBorder="1" applyAlignment="1">
      <alignment horizontal="justify" vertical="center" wrapText="1"/>
    </xf>
    <xf numFmtId="49" fontId="3" fillId="0" borderId="49" xfId="0" applyNumberFormat="1" applyFont="1" applyBorder="1" applyAlignment="1">
      <alignment vertical="center" wrapText="1"/>
    </xf>
    <xf numFmtId="9" fontId="3" fillId="0" borderId="49" xfId="1" applyFont="1" applyBorder="1" applyAlignment="1">
      <alignment horizontal="center" vertical="center" wrapText="1"/>
    </xf>
    <xf numFmtId="44" fontId="3" fillId="0" borderId="0" xfId="0" applyNumberFormat="1" applyFont="1"/>
    <xf numFmtId="44" fontId="41" fillId="0" borderId="49" xfId="0" applyNumberFormat="1" applyFont="1" applyBorder="1" applyAlignment="1">
      <alignment horizontal="center" vertical="center" wrapText="1"/>
    </xf>
    <xf numFmtId="44" fontId="3" fillId="0" borderId="49" xfId="0" applyNumberFormat="1" applyFont="1" applyBorder="1" applyAlignment="1">
      <alignment vertical="center" wrapText="1"/>
    </xf>
    <xf numFmtId="10" fontId="3" fillId="0" borderId="49" xfId="1" applyNumberFormat="1" applyFont="1" applyBorder="1" applyAlignment="1">
      <alignment horizontal="center" vertical="center" wrapText="1"/>
    </xf>
  </cellXfs>
  <cellStyles count="54">
    <cellStyle name="20% - Ênfase1" xfId="24" builtinId="30" customBuiltin="1"/>
    <cellStyle name="20% - Ênfase2" xfId="28" builtinId="34" customBuiltin="1"/>
    <cellStyle name="20% - Ênfase3" xfId="32" builtinId="38" customBuiltin="1"/>
    <cellStyle name="20% - Ênfase4" xfId="36" builtinId="42" customBuiltin="1"/>
    <cellStyle name="20% - Ênfase5" xfId="40" builtinId="46" customBuiltin="1"/>
    <cellStyle name="20% - Ênfase6" xfId="44" builtinId="50" customBuiltin="1"/>
    <cellStyle name="40% - Ênfase1" xfId="25" builtinId="31" customBuiltin="1"/>
    <cellStyle name="40% - Ênfase2" xfId="29" builtinId="35" customBuiltin="1"/>
    <cellStyle name="40% - Ênfase3" xfId="33" builtinId="39" customBuiltin="1"/>
    <cellStyle name="40% - Ênfase4" xfId="37" builtinId="43" customBuiltin="1"/>
    <cellStyle name="40% - Ênfase5" xfId="41" builtinId="47" customBuiltin="1"/>
    <cellStyle name="40% - Ênfase6" xfId="45" builtinId="51" customBuiltin="1"/>
    <cellStyle name="60% - Ênfase1" xfId="26" builtinId="32" customBuiltin="1"/>
    <cellStyle name="60% - Ênfase2" xfId="30" builtinId="36" customBuiltin="1"/>
    <cellStyle name="60% - Ênfase3" xfId="34" builtinId="40" customBuiltin="1"/>
    <cellStyle name="60% - Ênfase4" xfId="38" builtinId="44" customBuiltin="1"/>
    <cellStyle name="60% - Ênfase5" xfId="42" builtinId="48" customBuiltin="1"/>
    <cellStyle name="60% - Ênfase6" xfId="46" builtinId="52" customBuiltin="1"/>
    <cellStyle name="Bom" xfId="11" builtinId="26" customBuiltin="1"/>
    <cellStyle name="Cálculo" xfId="16" builtinId="22" customBuiltin="1"/>
    <cellStyle name="Célula de Verificação" xfId="18" builtinId="23" customBuiltin="1"/>
    <cellStyle name="Célula Vinculada" xfId="17" builtinId="24" customBuiltin="1"/>
    <cellStyle name="Ênfase1" xfId="23" builtinId="29" customBuiltin="1"/>
    <cellStyle name="Ênfase2" xfId="27" builtinId="33" customBuiltin="1"/>
    <cellStyle name="Ênfase3" xfId="31" builtinId="37" customBuiltin="1"/>
    <cellStyle name="Ênfase4" xfId="35" builtinId="41" customBuiltin="1"/>
    <cellStyle name="Ênfase5" xfId="39" builtinId="45" customBuiltin="1"/>
    <cellStyle name="Ênfase6" xfId="43" builtinId="49" customBuiltin="1"/>
    <cellStyle name="Entrada" xfId="14" builtinId="20" customBuiltin="1"/>
    <cellStyle name="Incorreto" xfId="12" builtinId="27" customBuiltin="1"/>
    <cellStyle name="Moeda" xfId="53" builtinId="4"/>
    <cellStyle name="Neutra" xfId="13" builtinId="28" customBuiltin="1"/>
    <cellStyle name="Normal" xfId="0" builtinId="0"/>
    <cellStyle name="Normal 2" xfId="48"/>
    <cellStyle name="Nota" xfId="20" builtinId="10" customBuiltin="1"/>
    <cellStyle name="Porcentagem" xfId="1" builtinId="5"/>
    <cellStyle name="Saída" xfId="15" builtinId="21" customBuiltin="1"/>
    <cellStyle name="Texto de Aviso" xfId="19" builtinId="11" customBuiltin="1"/>
    <cellStyle name="Texto Explicativo" xfId="21" builtinId="53" customBuiltin="1"/>
    <cellStyle name="Título" xfId="6" builtinId="15" customBuiltin="1"/>
    <cellStyle name="Título 1" xfId="7" builtinId="16" customBuiltin="1"/>
    <cellStyle name="Título 2" xfId="8" builtinId="17" customBuiltin="1"/>
    <cellStyle name="Título 3" xfId="9" builtinId="18" customBuiltin="1"/>
    <cellStyle name="Título 4" xfId="10" builtinId="19" customBuiltin="1"/>
    <cellStyle name="Total" xfId="22" builtinId="25" customBuiltin="1"/>
    <cellStyle name="Vírgula" xfId="2" builtinId="3"/>
    <cellStyle name="Vírgula 2" xfId="3"/>
    <cellStyle name="Vírgula 3" xfId="5"/>
    <cellStyle name="Vírgula 3 2" xfId="51"/>
    <cellStyle name="Vírgula 4" xfId="4"/>
    <cellStyle name="Vírgula 4 2" xfId="50"/>
    <cellStyle name="Vírgula 5" xfId="47"/>
    <cellStyle name="Vírgula 5 2" xfId="52"/>
    <cellStyle name="Vírgula 6"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698"/>
  <sheetViews>
    <sheetView showGridLines="0" tabSelected="1" topLeftCell="A655" zoomScaleNormal="100" workbookViewId="0">
      <selection activeCell="D668" sqref="D668"/>
    </sheetView>
  </sheetViews>
  <sheetFormatPr defaultRowHeight="24" customHeight="1" x14ac:dyDescent="0.25"/>
  <cols>
    <col min="1" max="1" width="42.7109375" style="20" customWidth="1"/>
    <col min="2" max="2" width="19.28515625" style="20" bestFit="1" customWidth="1"/>
    <col min="3" max="3" width="24.42578125" style="20" customWidth="1"/>
    <col min="4" max="4" width="25.140625" style="20" customWidth="1"/>
    <col min="5" max="5" width="26.85546875" style="20" customWidth="1"/>
    <col min="6" max="6" width="25.85546875" style="20" customWidth="1"/>
    <col min="7" max="7" width="27.5703125" style="20" customWidth="1"/>
    <col min="8" max="8" width="19.7109375" style="20" customWidth="1"/>
    <col min="9" max="9" width="26.7109375" style="20" customWidth="1"/>
    <col min="10" max="10" width="37.5703125" style="20" customWidth="1"/>
    <col min="11" max="11" width="17.28515625" style="20" customWidth="1"/>
    <col min="12" max="16384" width="9.140625" style="20"/>
  </cols>
  <sheetData>
    <row r="1" spans="1:9" ht="24" customHeight="1" x14ac:dyDescent="0.35">
      <c r="A1" s="139" t="s">
        <v>223</v>
      </c>
      <c r="B1" s="139"/>
      <c r="C1" s="139"/>
      <c r="D1" s="139"/>
      <c r="E1" s="139"/>
      <c r="F1" s="139"/>
      <c r="G1" s="139"/>
      <c r="H1" s="139"/>
      <c r="I1" s="139"/>
    </row>
    <row r="2" spans="1:9" ht="24" customHeight="1" x14ac:dyDescent="0.35">
      <c r="A2" s="139" t="s">
        <v>224</v>
      </c>
      <c r="B2" s="139"/>
      <c r="C2" s="139"/>
      <c r="D2" s="139"/>
      <c r="E2" s="139"/>
      <c r="F2" s="139"/>
      <c r="G2" s="139"/>
      <c r="H2" s="139"/>
      <c r="I2" s="139"/>
    </row>
    <row r="3" spans="1:9" ht="177" customHeight="1" x14ac:dyDescent="0.25">
      <c r="A3" s="143" t="s">
        <v>237</v>
      </c>
      <c r="B3" s="143"/>
      <c r="C3" s="143"/>
      <c r="D3" s="143"/>
      <c r="E3" s="143"/>
      <c r="F3" s="143"/>
      <c r="G3" s="143"/>
      <c r="H3" s="143"/>
      <c r="I3" s="143"/>
    </row>
    <row r="4" spans="1:9" ht="24" customHeight="1" x14ac:dyDescent="0.25">
      <c r="A4" s="109"/>
      <c r="B4" s="109"/>
      <c r="C4" s="109"/>
      <c r="D4" s="109"/>
      <c r="E4" s="109"/>
      <c r="F4" s="109"/>
      <c r="G4" s="109"/>
      <c r="H4" s="108"/>
      <c r="I4" s="108"/>
    </row>
    <row r="5" spans="1:9" ht="24" customHeight="1" x14ac:dyDescent="0.25">
      <c r="A5" s="132" t="s">
        <v>5</v>
      </c>
      <c r="B5" s="132"/>
      <c r="C5" s="132"/>
      <c r="D5" s="132"/>
      <c r="E5" s="132"/>
      <c r="F5" s="132"/>
      <c r="G5" s="132"/>
      <c r="H5" s="132"/>
      <c r="I5" s="132"/>
    </row>
    <row r="6" spans="1:9" ht="40.5" customHeight="1" x14ac:dyDescent="0.25">
      <c r="A6" s="143" t="s">
        <v>226</v>
      </c>
      <c r="B6" s="143"/>
      <c r="C6" s="143"/>
      <c r="D6" s="143"/>
      <c r="E6" s="143"/>
      <c r="F6" s="143"/>
      <c r="G6" s="143"/>
      <c r="H6" s="143"/>
      <c r="I6" s="143"/>
    </row>
    <row r="7" spans="1:9" ht="24" customHeight="1" x14ac:dyDescent="0.25">
      <c r="A7" s="64"/>
      <c r="B7" s="64"/>
      <c r="C7" s="64"/>
      <c r="D7" s="64"/>
      <c r="E7" s="64"/>
      <c r="F7" s="109"/>
      <c r="G7" s="64"/>
      <c r="H7" s="62"/>
      <c r="I7" s="62"/>
    </row>
    <row r="8" spans="1:9" ht="24" customHeight="1" x14ac:dyDescent="0.25">
      <c r="A8" s="137" t="s">
        <v>0</v>
      </c>
      <c r="B8" s="138"/>
      <c r="C8" s="138"/>
      <c r="D8" s="138"/>
      <c r="E8" s="138"/>
      <c r="F8" s="138"/>
      <c r="G8" s="138"/>
      <c r="H8" s="138"/>
      <c r="I8" s="138"/>
    </row>
    <row r="9" spans="1:9" ht="33.75" customHeight="1" x14ac:dyDescent="0.25">
      <c r="A9" s="143" t="s">
        <v>238</v>
      </c>
      <c r="B9" s="143"/>
      <c r="C9" s="143"/>
      <c r="D9" s="143"/>
      <c r="E9" s="143"/>
      <c r="F9" s="143"/>
      <c r="G9" s="143"/>
      <c r="H9" s="143"/>
      <c r="I9" s="143"/>
    </row>
    <row r="11" spans="1:9" ht="24" customHeight="1" x14ac:dyDescent="0.2">
      <c r="A11" s="166" t="s">
        <v>0</v>
      </c>
      <c r="B11" s="166"/>
      <c r="G11" s="169" t="s">
        <v>245</v>
      </c>
      <c r="H11" s="170" t="s">
        <v>246</v>
      </c>
    </row>
    <row r="12" spans="1:9" ht="24" customHeight="1" x14ac:dyDescent="0.25">
      <c r="A12" s="51" t="s">
        <v>252</v>
      </c>
      <c r="B12" s="172">
        <f>H12/44*40</f>
        <v>1727.2727272727273</v>
      </c>
      <c r="C12" s="174" t="s">
        <v>249</v>
      </c>
      <c r="D12" s="51">
        <v>200</v>
      </c>
      <c r="G12" s="169" t="s">
        <v>247</v>
      </c>
      <c r="H12" s="171">
        <v>1900</v>
      </c>
    </row>
    <row r="13" spans="1:9" ht="24.75" customHeight="1" x14ac:dyDescent="0.25">
      <c r="A13" s="168" t="s">
        <v>251</v>
      </c>
      <c r="B13" s="172">
        <f>H12</f>
        <v>1900</v>
      </c>
      <c r="G13" s="169" t="s">
        <v>248</v>
      </c>
      <c r="H13" s="171">
        <v>1961</v>
      </c>
    </row>
    <row r="14" spans="1:9" ht="24" customHeight="1" x14ac:dyDescent="0.25">
      <c r="A14" s="51" t="s">
        <v>250</v>
      </c>
      <c r="B14" s="172">
        <f>H12</f>
        <v>1900</v>
      </c>
      <c r="G14" s="176" t="s">
        <v>257</v>
      </c>
      <c r="H14" s="177">
        <v>3023</v>
      </c>
    </row>
    <row r="15" spans="1:9" ht="24" customHeight="1" x14ac:dyDescent="0.25">
      <c r="A15" s="51" t="s">
        <v>253</v>
      </c>
      <c r="B15" s="172">
        <f>H13</f>
        <v>1961</v>
      </c>
    </row>
    <row r="16" spans="1:9" ht="24" customHeight="1" x14ac:dyDescent="0.25">
      <c r="A16" s="51" t="s">
        <v>254</v>
      </c>
      <c r="B16" s="172">
        <f>H13</f>
        <v>1961</v>
      </c>
    </row>
    <row r="17" spans="1:9" ht="24" customHeight="1" x14ac:dyDescent="0.25">
      <c r="A17" s="51" t="s">
        <v>255</v>
      </c>
      <c r="B17" s="172">
        <f>H13</f>
        <v>1961</v>
      </c>
    </row>
    <row r="18" spans="1:9" ht="24" customHeight="1" x14ac:dyDescent="0.25">
      <c r="A18" s="51" t="s">
        <v>256</v>
      </c>
      <c r="B18" s="172">
        <f>H13</f>
        <v>1961</v>
      </c>
    </row>
    <row r="19" spans="1:9" ht="24" customHeight="1" x14ac:dyDescent="0.25">
      <c r="A19" s="51" t="s">
        <v>258</v>
      </c>
      <c r="B19" s="172">
        <f>H12/44*40</f>
        <v>1727.2727272727273</v>
      </c>
    </row>
    <row r="20" spans="1:9" ht="24" customHeight="1" x14ac:dyDescent="0.25">
      <c r="A20" s="51" t="s">
        <v>260</v>
      </c>
      <c r="B20" s="172">
        <f>H14</f>
        <v>3023</v>
      </c>
    </row>
    <row r="21" spans="1:9" ht="24" customHeight="1" x14ac:dyDescent="0.25">
      <c r="A21" s="51" t="s">
        <v>259</v>
      </c>
      <c r="B21" s="172">
        <f>H14</f>
        <v>3023</v>
      </c>
    </row>
    <row r="23" spans="1:9" ht="24" customHeight="1" x14ac:dyDescent="0.25">
      <c r="A23" s="137" t="s">
        <v>134</v>
      </c>
      <c r="B23" s="138"/>
      <c r="C23" s="138"/>
      <c r="D23" s="138"/>
      <c r="E23" s="138"/>
      <c r="F23" s="138"/>
      <c r="G23" s="138"/>
      <c r="H23" s="138"/>
      <c r="I23" s="138"/>
    </row>
    <row r="24" spans="1:9" ht="85.5" customHeight="1" x14ac:dyDescent="0.25">
      <c r="A24" s="143" t="s">
        <v>239</v>
      </c>
      <c r="B24" s="143"/>
      <c r="C24" s="143"/>
      <c r="D24" s="143"/>
      <c r="E24" s="143"/>
      <c r="F24" s="143"/>
      <c r="G24" s="143"/>
      <c r="H24" s="143"/>
      <c r="I24" s="143"/>
    </row>
    <row r="25" spans="1:9" ht="24" customHeight="1" thickBot="1" x14ac:dyDescent="0.3">
      <c r="A25" s="64"/>
      <c r="B25" s="64"/>
      <c r="C25" s="64"/>
      <c r="D25" s="64"/>
      <c r="E25" s="64"/>
      <c r="F25" s="109"/>
      <c r="G25" s="64"/>
    </row>
    <row r="26" spans="1:9" ht="24" customHeight="1" thickBot="1" x14ac:dyDescent="0.3">
      <c r="A26" s="140" t="s">
        <v>134</v>
      </c>
      <c r="B26" s="141"/>
      <c r="C26" s="141"/>
      <c r="D26" s="142"/>
    </row>
    <row r="27" spans="1:9" ht="24" customHeight="1" x14ac:dyDescent="0.25">
      <c r="A27" s="59" t="s">
        <v>3</v>
      </c>
      <c r="B27" s="60" t="s">
        <v>1</v>
      </c>
      <c r="C27" s="60" t="s">
        <v>2</v>
      </c>
      <c r="D27" s="61" t="s">
        <v>135</v>
      </c>
    </row>
    <row r="28" spans="1:9" ht="24" customHeight="1" x14ac:dyDescent="0.25">
      <c r="A28" s="51" t="s">
        <v>252</v>
      </c>
      <c r="B28" s="175">
        <f>B12</f>
        <v>1727.2727272727273</v>
      </c>
      <c r="C28" s="178">
        <v>0</v>
      </c>
      <c r="D28" s="175">
        <f>B28*C28</f>
        <v>0</v>
      </c>
      <c r="E28" s="62"/>
      <c r="F28" s="118"/>
      <c r="H28" s="62"/>
      <c r="I28" s="62"/>
    </row>
    <row r="29" spans="1:9" ht="24" customHeight="1" x14ac:dyDescent="0.25">
      <c r="A29" s="168" t="s">
        <v>251</v>
      </c>
      <c r="B29" s="175">
        <f t="shared" ref="B29:B37" si="0">B13</f>
        <v>1900</v>
      </c>
      <c r="C29" s="178">
        <v>0</v>
      </c>
      <c r="D29" s="175">
        <f t="shared" ref="D29:D37" si="1">B29*C29</f>
        <v>0</v>
      </c>
      <c r="E29" s="118"/>
      <c r="F29" s="118"/>
      <c r="H29" s="118"/>
      <c r="I29" s="118"/>
    </row>
    <row r="30" spans="1:9" ht="24" customHeight="1" x14ac:dyDescent="0.25">
      <c r="A30" s="51" t="s">
        <v>250</v>
      </c>
      <c r="B30" s="175">
        <f t="shared" si="0"/>
        <v>1900</v>
      </c>
      <c r="C30" s="178">
        <v>0</v>
      </c>
      <c r="D30" s="175">
        <f t="shared" si="1"/>
        <v>0</v>
      </c>
      <c r="E30" s="118"/>
      <c r="F30" s="118"/>
      <c r="H30" s="118"/>
      <c r="I30" s="118"/>
    </row>
    <row r="31" spans="1:9" ht="24" customHeight="1" x14ac:dyDescent="0.25">
      <c r="A31" s="51" t="s">
        <v>253</v>
      </c>
      <c r="B31" s="175">
        <f t="shared" si="0"/>
        <v>1961</v>
      </c>
      <c r="C31" s="178">
        <v>0</v>
      </c>
      <c r="D31" s="175">
        <f t="shared" si="1"/>
        <v>0</v>
      </c>
      <c r="E31" s="118"/>
      <c r="F31" s="118"/>
      <c r="H31" s="118"/>
      <c r="I31" s="118"/>
    </row>
    <row r="32" spans="1:9" ht="24" customHeight="1" x14ac:dyDescent="0.25">
      <c r="A32" s="51" t="s">
        <v>254</v>
      </c>
      <c r="B32" s="175">
        <f t="shared" si="0"/>
        <v>1961</v>
      </c>
      <c r="C32" s="178">
        <v>0</v>
      </c>
      <c r="D32" s="175">
        <f t="shared" si="1"/>
        <v>0</v>
      </c>
      <c r="E32" s="118"/>
      <c r="F32" s="118"/>
      <c r="H32" s="118"/>
      <c r="I32" s="118"/>
    </row>
    <row r="33" spans="1:9" ht="24" customHeight="1" x14ac:dyDescent="0.25">
      <c r="A33" s="51" t="s">
        <v>255</v>
      </c>
      <c r="B33" s="175">
        <f t="shared" si="0"/>
        <v>1961</v>
      </c>
      <c r="C33" s="178">
        <v>0</v>
      </c>
      <c r="D33" s="175">
        <f t="shared" si="1"/>
        <v>0</v>
      </c>
      <c r="E33" s="118"/>
      <c r="F33" s="118"/>
      <c r="H33" s="118"/>
      <c r="I33" s="118"/>
    </row>
    <row r="34" spans="1:9" ht="24" customHeight="1" x14ac:dyDescent="0.25">
      <c r="A34" s="51" t="s">
        <v>256</v>
      </c>
      <c r="B34" s="175">
        <f t="shared" si="0"/>
        <v>1961</v>
      </c>
      <c r="C34" s="178">
        <v>0</v>
      </c>
      <c r="D34" s="175">
        <f t="shared" si="1"/>
        <v>0</v>
      </c>
      <c r="E34" s="118"/>
      <c r="F34" s="118"/>
      <c r="H34" s="118"/>
      <c r="I34" s="118"/>
    </row>
    <row r="35" spans="1:9" ht="24" customHeight="1" x14ac:dyDescent="0.25">
      <c r="A35" s="51" t="s">
        <v>258</v>
      </c>
      <c r="B35" s="175">
        <f t="shared" si="0"/>
        <v>1727.2727272727273</v>
      </c>
      <c r="C35" s="179">
        <f>D35/B35</f>
        <v>7.5842105263157891E-2</v>
      </c>
      <c r="D35" s="175">
        <v>131</v>
      </c>
      <c r="E35" s="118"/>
      <c r="F35" s="118"/>
      <c r="H35" s="118"/>
      <c r="I35" s="118"/>
    </row>
    <row r="36" spans="1:9" ht="24" customHeight="1" x14ac:dyDescent="0.25">
      <c r="A36" s="51" t="s">
        <v>260</v>
      </c>
      <c r="B36" s="175">
        <f t="shared" si="0"/>
        <v>3023</v>
      </c>
      <c r="C36" s="178">
        <v>0</v>
      </c>
      <c r="D36" s="175">
        <f t="shared" si="1"/>
        <v>0</v>
      </c>
      <c r="E36" s="118"/>
      <c r="F36" s="118"/>
      <c r="H36" s="118"/>
      <c r="I36" s="118"/>
    </row>
    <row r="37" spans="1:9" ht="24" customHeight="1" x14ac:dyDescent="0.25">
      <c r="A37" s="51" t="s">
        <v>259</v>
      </c>
      <c r="B37" s="175">
        <f t="shared" si="0"/>
        <v>3023</v>
      </c>
      <c r="C37" s="178">
        <v>0</v>
      </c>
      <c r="D37" s="175">
        <f t="shared" si="1"/>
        <v>0</v>
      </c>
    </row>
    <row r="38" spans="1:9" ht="24" customHeight="1" x14ac:dyDescent="0.25">
      <c r="A38" s="76"/>
    </row>
    <row r="39" spans="1:9" ht="24" customHeight="1" x14ac:dyDescent="0.25">
      <c r="A39" s="137" t="s">
        <v>136</v>
      </c>
      <c r="B39" s="138"/>
      <c r="C39" s="138"/>
      <c r="D39" s="138"/>
      <c r="E39" s="138"/>
      <c r="F39" s="138"/>
      <c r="G39" s="138"/>
      <c r="H39" s="138"/>
      <c r="I39" s="138"/>
    </row>
    <row r="40" spans="1:9" ht="72" customHeight="1" x14ac:dyDescent="0.25">
      <c r="A40" s="143" t="s">
        <v>227</v>
      </c>
      <c r="B40" s="143"/>
      <c r="C40" s="143"/>
      <c r="D40" s="143"/>
      <c r="E40" s="143"/>
      <c r="F40" s="143"/>
      <c r="G40" s="143"/>
      <c r="H40" s="143"/>
      <c r="I40" s="143"/>
    </row>
    <row r="41" spans="1:9" ht="24" customHeight="1" thickBot="1" x14ac:dyDescent="0.3">
      <c r="A41" s="62"/>
      <c r="B41" s="62"/>
      <c r="C41" s="62"/>
      <c r="D41" s="62"/>
      <c r="G41" s="62"/>
    </row>
    <row r="42" spans="1:9" ht="24" customHeight="1" x14ac:dyDescent="0.25">
      <c r="A42" s="148" t="s">
        <v>262</v>
      </c>
      <c r="B42" s="149"/>
      <c r="C42" s="149"/>
      <c r="D42" s="150"/>
    </row>
    <row r="43" spans="1:9" ht="24" customHeight="1" x14ac:dyDescent="0.25">
      <c r="A43" s="181" t="s">
        <v>3</v>
      </c>
      <c r="B43" s="181" t="s">
        <v>1</v>
      </c>
      <c r="C43" s="181" t="s">
        <v>2</v>
      </c>
      <c r="D43" s="181" t="s">
        <v>4</v>
      </c>
      <c r="E43" s="180" t="s">
        <v>261</v>
      </c>
      <c r="F43" s="180"/>
      <c r="G43" s="177">
        <v>1621</v>
      </c>
    </row>
    <row r="44" spans="1:9" ht="24" customHeight="1" x14ac:dyDescent="0.25">
      <c r="A44" s="51" t="s">
        <v>252</v>
      </c>
      <c r="B44" s="175">
        <f>$G$43</f>
        <v>1621</v>
      </c>
      <c r="C44" s="52">
        <v>0.2</v>
      </c>
      <c r="D44" s="172">
        <f t="shared" ref="D44:D53" si="2">B44*C44</f>
        <v>324.20000000000005</v>
      </c>
    </row>
    <row r="45" spans="1:9" ht="24" customHeight="1" x14ac:dyDescent="0.25">
      <c r="A45" s="168" t="s">
        <v>251</v>
      </c>
      <c r="B45" s="175">
        <f t="shared" ref="B45:B53" si="3">$G$43</f>
        <v>1621</v>
      </c>
      <c r="C45" s="52">
        <f>C44</f>
        <v>0.2</v>
      </c>
      <c r="D45" s="172">
        <f t="shared" si="2"/>
        <v>324.20000000000005</v>
      </c>
    </row>
    <row r="46" spans="1:9" ht="24" customHeight="1" x14ac:dyDescent="0.25">
      <c r="A46" s="51" t="s">
        <v>250</v>
      </c>
      <c r="B46" s="175">
        <f t="shared" si="3"/>
        <v>1621</v>
      </c>
      <c r="C46" s="52">
        <f>C45</f>
        <v>0.2</v>
      </c>
      <c r="D46" s="172">
        <f t="shared" si="2"/>
        <v>324.20000000000005</v>
      </c>
    </row>
    <row r="47" spans="1:9" ht="24" customHeight="1" x14ac:dyDescent="0.25">
      <c r="A47" s="51" t="s">
        <v>253</v>
      </c>
      <c r="B47" s="175">
        <f t="shared" si="3"/>
        <v>1621</v>
      </c>
      <c r="C47" s="52">
        <f>C46</f>
        <v>0.2</v>
      </c>
      <c r="D47" s="172">
        <f t="shared" si="2"/>
        <v>324.20000000000005</v>
      </c>
    </row>
    <row r="48" spans="1:9" ht="24" customHeight="1" x14ac:dyDescent="0.25">
      <c r="A48" s="51" t="s">
        <v>254</v>
      </c>
      <c r="B48" s="175">
        <f t="shared" si="3"/>
        <v>1621</v>
      </c>
      <c r="C48" s="52">
        <f>C47</f>
        <v>0.2</v>
      </c>
      <c r="D48" s="172">
        <f t="shared" si="2"/>
        <v>324.20000000000005</v>
      </c>
    </row>
    <row r="49" spans="1:9" ht="24" customHeight="1" x14ac:dyDescent="0.25">
      <c r="A49" s="51" t="s">
        <v>255</v>
      </c>
      <c r="B49" s="175">
        <f t="shared" si="3"/>
        <v>1621</v>
      </c>
      <c r="C49" s="52">
        <f t="shared" ref="C49:C53" si="4">C48</f>
        <v>0.2</v>
      </c>
      <c r="D49" s="172">
        <f t="shared" si="2"/>
        <v>324.20000000000005</v>
      </c>
    </row>
    <row r="50" spans="1:9" ht="24" customHeight="1" x14ac:dyDescent="0.25">
      <c r="A50" s="51" t="s">
        <v>256</v>
      </c>
      <c r="B50" s="175">
        <f t="shared" si="3"/>
        <v>1621</v>
      </c>
      <c r="C50" s="52">
        <f t="shared" si="4"/>
        <v>0.2</v>
      </c>
      <c r="D50" s="172">
        <f t="shared" si="2"/>
        <v>324.20000000000005</v>
      </c>
    </row>
    <row r="51" spans="1:9" ht="24" customHeight="1" x14ac:dyDescent="0.25">
      <c r="A51" s="51" t="s">
        <v>258</v>
      </c>
      <c r="B51" s="175">
        <f t="shared" si="3"/>
        <v>1621</v>
      </c>
      <c r="C51" s="52">
        <f t="shared" si="4"/>
        <v>0.2</v>
      </c>
      <c r="D51" s="172">
        <f t="shared" si="2"/>
        <v>324.20000000000005</v>
      </c>
    </row>
    <row r="52" spans="1:9" ht="24" customHeight="1" x14ac:dyDescent="0.25">
      <c r="A52" s="51" t="s">
        <v>260</v>
      </c>
      <c r="B52" s="175">
        <f t="shared" si="3"/>
        <v>1621</v>
      </c>
      <c r="C52" s="52">
        <f t="shared" si="4"/>
        <v>0.2</v>
      </c>
      <c r="D52" s="172">
        <f t="shared" si="2"/>
        <v>324.20000000000005</v>
      </c>
    </row>
    <row r="53" spans="1:9" ht="24" customHeight="1" x14ac:dyDescent="0.25">
      <c r="A53" s="51" t="s">
        <v>259</v>
      </c>
      <c r="B53" s="175">
        <f t="shared" si="3"/>
        <v>1621</v>
      </c>
      <c r="C53" s="52">
        <f t="shared" si="4"/>
        <v>0.2</v>
      </c>
      <c r="D53" s="172">
        <f t="shared" si="2"/>
        <v>324.20000000000005</v>
      </c>
    </row>
    <row r="56" spans="1:9" ht="24" customHeight="1" x14ac:dyDescent="0.25">
      <c r="A56" s="137" t="s">
        <v>6</v>
      </c>
      <c r="B56" s="138"/>
      <c r="C56" s="138"/>
      <c r="D56" s="138"/>
      <c r="E56" s="138"/>
      <c r="F56" s="138"/>
      <c r="G56" s="138"/>
      <c r="H56" s="138"/>
      <c r="I56" s="138"/>
    </row>
    <row r="57" spans="1:9" ht="69.75" customHeight="1" x14ac:dyDescent="0.25">
      <c r="A57" s="143" t="s">
        <v>240</v>
      </c>
      <c r="B57" s="143"/>
      <c r="C57" s="143"/>
      <c r="D57" s="143"/>
      <c r="E57" s="143"/>
      <c r="F57" s="143"/>
      <c r="G57" s="143"/>
      <c r="H57" s="143"/>
      <c r="I57" s="143"/>
    </row>
    <row r="58" spans="1:9" ht="24" customHeight="1" thickBot="1" x14ac:dyDescent="0.3"/>
    <row r="59" spans="1:9" ht="24" customHeight="1" thickBot="1" x14ac:dyDescent="0.3">
      <c r="A59" s="140" t="s">
        <v>6</v>
      </c>
      <c r="B59" s="141"/>
      <c r="C59" s="141"/>
      <c r="D59" s="141"/>
      <c r="E59" s="142"/>
      <c r="F59" s="122"/>
    </row>
    <row r="60" spans="1:9" ht="24" customHeight="1" x14ac:dyDescent="0.25">
      <c r="A60" s="24" t="s">
        <v>3</v>
      </c>
      <c r="B60" s="25" t="s">
        <v>8</v>
      </c>
      <c r="C60" s="25" t="s">
        <v>9</v>
      </c>
      <c r="D60" s="25" t="s">
        <v>2</v>
      </c>
      <c r="E60" s="26" t="s">
        <v>4</v>
      </c>
      <c r="F60" s="122"/>
    </row>
    <row r="61" spans="1:9" ht="24" customHeight="1" x14ac:dyDescent="0.25">
      <c r="A61" s="51" t="s">
        <v>252</v>
      </c>
      <c r="B61" s="175">
        <f>B12+D44</f>
        <v>2051.4727272727273</v>
      </c>
      <c r="C61" s="55">
        <f>0/12</f>
        <v>0</v>
      </c>
      <c r="D61" s="52">
        <v>0</v>
      </c>
      <c r="E61" s="172">
        <f>B61*C61*D61</f>
        <v>0</v>
      </c>
      <c r="F61" s="173"/>
    </row>
    <row r="62" spans="1:9" ht="24" customHeight="1" x14ac:dyDescent="0.25">
      <c r="A62" s="168" t="s">
        <v>251</v>
      </c>
      <c r="B62" s="175">
        <f t="shared" ref="B62:B70" si="5">B13+D45</f>
        <v>2224.1999999999998</v>
      </c>
      <c r="C62" s="55">
        <f>0/12</f>
        <v>0</v>
      </c>
      <c r="D62" s="52">
        <v>0</v>
      </c>
      <c r="E62" s="172">
        <f t="shared" ref="E62:E70" si="6">B62*C62*D62</f>
        <v>0</v>
      </c>
      <c r="F62" s="173"/>
    </row>
    <row r="63" spans="1:9" ht="24" customHeight="1" x14ac:dyDescent="0.25">
      <c r="A63" s="191" t="s">
        <v>250</v>
      </c>
      <c r="B63" s="196">
        <f t="shared" si="5"/>
        <v>2224.1999999999998</v>
      </c>
      <c r="C63" s="192">
        <f t="shared" ref="C63" si="7">7/12</f>
        <v>0.58333333333333337</v>
      </c>
      <c r="D63" s="193">
        <v>0.2</v>
      </c>
      <c r="E63" s="197">
        <f>B63*C63*D63</f>
        <v>259.49</v>
      </c>
      <c r="F63" s="220"/>
    </row>
    <row r="64" spans="1:9" ht="24" customHeight="1" x14ac:dyDescent="0.25">
      <c r="A64" s="51" t="s">
        <v>253</v>
      </c>
      <c r="B64" s="175">
        <f t="shared" si="5"/>
        <v>2285.1999999999998</v>
      </c>
      <c r="C64" s="55">
        <f>0/12</f>
        <v>0</v>
      </c>
      <c r="D64" s="52">
        <v>0</v>
      </c>
      <c r="E64" s="172">
        <f t="shared" si="6"/>
        <v>0</v>
      </c>
      <c r="F64" s="173"/>
    </row>
    <row r="65" spans="1:9" ht="24" customHeight="1" x14ac:dyDescent="0.25">
      <c r="A65" s="51" t="s">
        <v>254</v>
      </c>
      <c r="B65" s="175">
        <f t="shared" si="5"/>
        <v>2285.1999999999998</v>
      </c>
      <c r="C65" s="55">
        <f>0/12</f>
        <v>0</v>
      </c>
      <c r="D65" s="52">
        <v>0.2</v>
      </c>
      <c r="E65" s="172">
        <f t="shared" si="6"/>
        <v>0</v>
      </c>
      <c r="F65" s="173"/>
    </row>
    <row r="66" spans="1:9" ht="24" customHeight="1" x14ac:dyDescent="0.25">
      <c r="A66" s="191" t="s">
        <v>255</v>
      </c>
      <c r="B66" s="196">
        <f t="shared" si="5"/>
        <v>2285.1999999999998</v>
      </c>
      <c r="C66" s="192">
        <f>3/12</f>
        <v>0.25</v>
      </c>
      <c r="D66" s="193">
        <v>0.2</v>
      </c>
      <c r="E66" s="197">
        <f t="shared" si="6"/>
        <v>114.25999999999999</v>
      </c>
      <c r="F66" s="220"/>
    </row>
    <row r="67" spans="1:9" ht="24" customHeight="1" x14ac:dyDescent="0.25">
      <c r="A67" s="51" t="s">
        <v>256</v>
      </c>
      <c r="B67" s="175">
        <f t="shared" si="5"/>
        <v>2285.1999999999998</v>
      </c>
      <c r="C67" s="55">
        <f>0/12</f>
        <v>0</v>
      </c>
      <c r="D67" s="52">
        <v>0</v>
      </c>
      <c r="E67" s="172">
        <f t="shared" si="6"/>
        <v>0</v>
      </c>
      <c r="F67" s="173"/>
    </row>
    <row r="68" spans="1:9" ht="24" customHeight="1" x14ac:dyDescent="0.25">
      <c r="A68" s="51" t="s">
        <v>258</v>
      </c>
      <c r="B68" s="175">
        <f t="shared" si="5"/>
        <v>2051.4727272727273</v>
      </c>
      <c r="C68" s="55">
        <f>0/12</f>
        <v>0</v>
      </c>
      <c r="D68" s="52">
        <v>0</v>
      </c>
      <c r="E68" s="172">
        <f t="shared" si="6"/>
        <v>0</v>
      </c>
      <c r="F68" s="173"/>
    </row>
    <row r="69" spans="1:9" ht="24" customHeight="1" x14ac:dyDescent="0.25">
      <c r="A69" s="51" t="s">
        <v>260</v>
      </c>
      <c r="B69" s="175">
        <f t="shared" si="5"/>
        <v>3347.2</v>
      </c>
      <c r="C69" s="55">
        <f>0/12</f>
        <v>0</v>
      </c>
      <c r="D69" s="52">
        <v>0</v>
      </c>
      <c r="E69" s="172">
        <f t="shared" si="6"/>
        <v>0</v>
      </c>
      <c r="F69" s="173"/>
    </row>
    <row r="70" spans="1:9" ht="24" customHeight="1" x14ac:dyDescent="0.25">
      <c r="A70" s="51" t="s">
        <v>259</v>
      </c>
      <c r="B70" s="175">
        <f t="shared" si="5"/>
        <v>3347.2</v>
      </c>
      <c r="C70" s="55">
        <f>0/12</f>
        <v>0</v>
      </c>
      <c r="D70" s="52">
        <v>0</v>
      </c>
      <c r="E70" s="172">
        <f t="shared" si="6"/>
        <v>0</v>
      </c>
      <c r="F70" s="173"/>
    </row>
    <row r="71" spans="1:9" ht="24" customHeight="1" x14ac:dyDescent="0.25">
      <c r="A71" s="182"/>
      <c r="B71" s="183"/>
      <c r="C71" s="184"/>
      <c r="D71" s="185"/>
      <c r="E71" s="186"/>
      <c r="F71" s="190"/>
    </row>
    <row r="72" spans="1:9" s="76" customFormat="1" ht="24" customHeight="1" x14ac:dyDescent="0.25">
      <c r="B72" s="183"/>
      <c r="C72" s="184"/>
      <c r="D72" s="185"/>
      <c r="E72" s="190"/>
      <c r="F72" s="190"/>
    </row>
    <row r="73" spans="1:9" ht="24" customHeight="1" thickBot="1" x14ac:dyDescent="0.3">
      <c r="A73" s="187" t="s">
        <v>10</v>
      </c>
      <c r="B73" s="188"/>
      <c r="C73" s="188"/>
      <c r="D73" s="188"/>
      <c r="E73" s="189"/>
      <c r="F73" s="122"/>
      <c r="H73" s="194"/>
    </row>
    <row r="74" spans="1:9" ht="24" customHeight="1" x14ac:dyDescent="0.25">
      <c r="A74" s="24" t="s">
        <v>3</v>
      </c>
      <c r="B74" s="25" t="s">
        <v>8</v>
      </c>
      <c r="C74" s="25" t="s">
        <v>9</v>
      </c>
      <c r="D74" s="25" t="s">
        <v>2</v>
      </c>
      <c r="E74" s="26" t="s">
        <v>4</v>
      </c>
      <c r="F74" s="122"/>
    </row>
    <row r="75" spans="1:9" ht="24" customHeight="1" x14ac:dyDescent="0.25">
      <c r="A75" s="51" t="s">
        <v>252</v>
      </c>
      <c r="B75" s="175">
        <f>B12+D44</f>
        <v>2051.4727272727273</v>
      </c>
      <c r="C75" s="55">
        <f>0/12</f>
        <v>0</v>
      </c>
      <c r="D75" s="52">
        <f>1+D61</f>
        <v>1</v>
      </c>
      <c r="E75" s="172">
        <f>B75*C75*D75</f>
        <v>0</v>
      </c>
      <c r="F75" s="173"/>
    </row>
    <row r="76" spans="1:9" ht="24" customHeight="1" x14ac:dyDescent="0.25">
      <c r="A76" s="168" t="s">
        <v>251</v>
      </c>
      <c r="B76" s="175">
        <f t="shared" ref="B76:B84" si="8">B13+D45</f>
        <v>2224.1999999999998</v>
      </c>
      <c r="C76" s="55">
        <f t="shared" ref="C76:C84" si="9">0/12</f>
        <v>0</v>
      </c>
      <c r="D76" s="52">
        <f t="shared" ref="D76:D84" si="10">1+D62</f>
        <v>1</v>
      </c>
      <c r="E76" s="172">
        <f t="shared" ref="E76:E84" si="11">B76*C76*D76</f>
        <v>0</v>
      </c>
      <c r="F76" s="173"/>
    </row>
    <row r="77" spans="1:9" ht="24" customHeight="1" x14ac:dyDescent="0.25">
      <c r="A77" s="191" t="s">
        <v>250</v>
      </c>
      <c r="B77" s="175">
        <f t="shared" si="8"/>
        <v>2224.1999999999998</v>
      </c>
      <c r="C77" s="55">
        <f>1/12</f>
        <v>8.3333333333333329E-2</v>
      </c>
      <c r="D77" s="52">
        <f>1+D63</f>
        <v>1.2</v>
      </c>
      <c r="E77" s="172">
        <f t="shared" si="11"/>
        <v>222.41999999999996</v>
      </c>
      <c r="F77" s="173"/>
    </row>
    <row r="78" spans="1:9" ht="24" customHeight="1" x14ac:dyDescent="0.25">
      <c r="A78" s="51" t="s">
        <v>253</v>
      </c>
      <c r="B78" s="175">
        <f t="shared" si="8"/>
        <v>2285.1999999999998</v>
      </c>
      <c r="C78" s="55">
        <f t="shared" si="9"/>
        <v>0</v>
      </c>
      <c r="D78" s="52">
        <f t="shared" si="10"/>
        <v>1</v>
      </c>
      <c r="E78" s="172">
        <f t="shared" si="11"/>
        <v>0</v>
      </c>
      <c r="F78" s="173"/>
    </row>
    <row r="79" spans="1:9" ht="24" customHeight="1" x14ac:dyDescent="0.25">
      <c r="A79" s="51" t="s">
        <v>254</v>
      </c>
      <c r="B79" s="175">
        <f t="shared" si="8"/>
        <v>2285.1999999999998</v>
      </c>
      <c r="C79" s="55">
        <f t="shared" si="9"/>
        <v>0</v>
      </c>
      <c r="D79" s="52">
        <f t="shared" si="10"/>
        <v>1.2</v>
      </c>
      <c r="E79" s="172">
        <f t="shared" si="11"/>
        <v>0</v>
      </c>
      <c r="F79" s="173"/>
    </row>
    <row r="80" spans="1:9" ht="24" customHeight="1" x14ac:dyDescent="0.25">
      <c r="A80" s="191" t="s">
        <v>255</v>
      </c>
      <c r="B80" s="175">
        <f t="shared" si="8"/>
        <v>2285.1999999999998</v>
      </c>
      <c r="C80" s="55">
        <f>I80/12</f>
        <v>3.5714285714285698E-2</v>
      </c>
      <c r="D80" s="52">
        <f t="shared" si="10"/>
        <v>1.2</v>
      </c>
      <c r="E80" s="172">
        <f t="shared" si="11"/>
        <v>97.937142857142803</v>
      </c>
      <c r="F80" s="173"/>
      <c r="G80" s="195" t="s">
        <v>263</v>
      </c>
      <c r="H80" s="195">
        <f>3/0.875</f>
        <v>3.4285714285714284</v>
      </c>
      <c r="I80" s="195">
        <f>H80-3</f>
        <v>0.42857142857142838</v>
      </c>
    </row>
    <row r="81" spans="1:9" ht="24" customHeight="1" x14ac:dyDescent="0.25">
      <c r="A81" s="51" t="s">
        <v>256</v>
      </c>
      <c r="B81" s="175">
        <f t="shared" si="8"/>
        <v>2285.1999999999998</v>
      </c>
      <c r="C81" s="55">
        <f t="shared" si="9"/>
        <v>0</v>
      </c>
      <c r="D81" s="52">
        <f t="shared" si="10"/>
        <v>1</v>
      </c>
      <c r="E81" s="172">
        <f t="shared" si="11"/>
        <v>0</v>
      </c>
      <c r="F81" s="173"/>
    </row>
    <row r="82" spans="1:9" ht="24" customHeight="1" x14ac:dyDescent="0.25">
      <c r="A82" s="51" t="s">
        <v>258</v>
      </c>
      <c r="B82" s="175">
        <f t="shared" si="8"/>
        <v>2051.4727272727273</v>
      </c>
      <c r="C82" s="55">
        <f t="shared" si="9"/>
        <v>0</v>
      </c>
      <c r="D82" s="52">
        <f t="shared" si="10"/>
        <v>1</v>
      </c>
      <c r="E82" s="172">
        <f t="shared" si="11"/>
        <v>0</v>
      </c>
      <c r="F82" s="173"/>
    </row>
    <row r="83" spans="1:9" ht="24" customHeight="1" x14ac:dyDescent="0.25">
      <c r="A83" s="51" t="s">
        <v>260</v>
      </c>
      <c r="B83" s="175">
        <f t="shared" si="8"/>
        <v>3347.2</v>
      </c>
      <c r="C83" s="55">
        <f t="shared" si="9"/>
        <v>0</v>
      </c>
      <c r="D83" s="52">
        <f t="shared" si="10"/>
        <v>1</v>
      </c>
      <c r="E83" s="172">
        <f t="shared" si="11"/>
        <v>0</v>
      </c>
      <c r="F83" s="173"/>
    </row>
    <row r="84" spans="1:9" ht="33.75" customHeight="1" x14ac:dyDescent="0.25">
      <c r="A84" s="51" t="s">
        <v>259</v>
      </c>
      <c r="B84" s="175">
        <f t="shared" si="8"/>
        <v>3347.2</v>
      </c>
      <c r="C84" s="55">
        <f t="shared" si="9"/>
        <v>0</v>
      </c>
      <c r="D84" s="52">
        <f t="shared" si="10"/>
        <v>1</v>
      </c>
      <c r="E84" s="172">
        <f t="shared" si="11"/>
        <v>0</v>
      </c>
      <c r="F84" s="173"/>
    </row>
    <row r="85" spans="1:9" ht="33.75" customHeight="1" x14ac:dyDescent="0.25">
      <c r="A85" s="76"/>
    </row>
    <row r="86" spans="1:9" ht="24" customHeight="1" x14ac:dyDescent="0.25">
      <c r="A86" s="166" t="s">
        <v>7</v>
      </c>
      <c r="B86" s="166"/>
      <c r="C86" s="166"/>
      <c r="D86" s="166"/>
    </row>
    <row r="87" spans="1:9" ht="30.75" customHeight="1" x14ac:dyDescent="0.25">
      <c r="A87" s="181" t="s">
        <v>3</v>
      </c>
      <c r="B87" s="181" t="s">
        <v>11</v>
      </c>
      <c r="C87" s="198" t="s">
        <v>12</v>
      </c>
      <c r="D87" s="181" t="s">
        <v>4</v>
      </c>
    </row>
    <row r="88" spans="1:9" ht="24" customHeight="1" x14ac:dyDescent="0.25">
      <c r="A88" s="51" t="s">
        <v>252</v>
      </c>
      <c r="B88" s="175">
        <f>E61</f>
        <v>0</v>
      </c>
      <c r="C88" s="175">
        <f>E75</f>
        <v>0</v>
      </c>
      <c r="D88" s="172">
        <f>SUM(B88:C88)</f>
        <v>0</v>
      </c>
    </row>
    <row r="89" spans="1:9" ht="24" customHeight="1" x14ac:dyDescent="0.25">
      <c r="A89" s="168" t="s">
        <v>251</v>
      </c>
      <c r="B89" s="175">
        <f t="shared" ref="B89:B97" si="12">E62</f>
        <v>0</v>
      </c>
      <c r="C89" s="175">
        <f t="shared" ref="C89:C97" si="13">E76</f>
        <v>0</v>
      </c>
      <c r="D89" s="172">
        <f t="shared" ref="D89:D97" si="14">SUM(B89:C89)</f>
        <v>0</v>
      </c>
      <c r="H89" s="62"/>
      <c r="I89" s="62"/>
    </row>
    <row r="90" spans="1:9" ht="24" customHeight="1" x14ac:dyDescent="0.25">
      <c r="A90" s="191" t="s">
        <v>250</v>
      </c>
      <c r="B90" s="175">
        <f t="shared" si="12"/>
        <v>259.49</v>
      </c>
      <c r="C90" s="175">
        <f t="shared" si="13"/>
        <v>222.41999999999996</v>
      </c>
      <c r="D90" s="172">
        <f>SUM(B90:C90)</f>
        <v>481.90999999999997</v>
      </c>
      <c r="H90" s="118"/>
      <c r="I90" s="118"/>
    </row>
    <row r="91" spans="1:9" ht="24" customHeight="1" x14ac:dyDescent="0.25">
      <c r="A91" s="51" t="s">
        <v>253</v>
      </c>
      <c r="B91" s="175">
        <f t="shared" si="12"/>
        <v>0</v>
      </c>
      <c r="C91" s="175">
        <f t="shared" si="13"/>
        <v>0</v>
      </c>
      <c r="D91" s="172">
        <f t="shared" si="14"/>
        <v>0</v>
      </c>
      <c r="H91" s="118"/>
      <c r="I91" s="118"/>
    </row>
    <row r="92" spans="1:9" ht="24" customHeight="1" x14ac:dyDescent="0.25">
      <c r="A92" s="51" t="s">
        <v>254</v>
      </c>
      <c r="B92" s="175">
        <f t="shared" si="12"/>
        <v>0</v>
      </c>
      <c r="C92" s="175">
        <f t="shared" si="13"/>
        <v>0</v>
      </c>
      <c r="D92" s="172">
        <f t="shared" si="14"/>
        <v>0</v>
      </c>
      <c r="H92" s="118"/>
      <c r="I92" s="118"/>
    </row>
    <row r="93" spans="1:9" ht="24" customHeight="1" x14ac:dyDescent="0.25">
      <c r="A93" s="191" t="s">
        <v>255</v>
      </c>
      <c r="B93" s="175">
        <f t="shared" si="12"/>
        <v>114.25999999999999</v>
      </c>
      <c r="C93" s="175">
        <f t="shared" si="13"/>
        <v>97.937142857142803</v>
      </c>
      <c r="D93" s="172">
        <f t="shared" si="14"/>
        <v>212.19714285714281</v>
      </c>
      <c r="H93" s="118"/>
      <c r="I93" s="118"/>
    </row>
    <row r="94" spans="1:9" ht="24" customHeight="1" x14ac:dyDescent="0.25">
      <c r="A94" s="51" t="s">
        <v>256</v>
      </c>
      <c r="B94" s="175">
        <f t="shared" si="12"/>
        <v>0</v>
      </c>
      <c r="C94" s="175">
        <f t="shared" si="13"/>
        <v>0</v>
      </c>
      <c r="D94" s="172">
        <f t="shared" si="14"/>
        <v>0</v>
      </c>
      <c r="H94" s="118"/>
      <c r="I94" s="118"/>
    </row>
    <row r="95" spans="1:9" ht="24" customHeight="1" x14ac:dyDescent="0.25">
      <c r="A95" s="51" t="s">
        <v>258</v>
      </c>
      <c r="B95" s="175">
        <f t="shared" si="12"/>
        <v>0</v>
      </c>
      <c r="C95" s="175">
        <f t="shared" si="13"/>
        <v>0</v>
      </c>
      <c r="D95" s="172">
        <f t="shared" si="14"/>
        <v>0</v>
      </c>
      <c r="H95" s="118"/>
      <c r="I95" s="118"/>
    </row>
    <row r="96" spans="1:9" ht="24" customHeight="1" x14ac:dyDescent="0.25">
      <c r="A96" s="51" t="s">
        <v>260</v>
      </c>
      <c r="B96" s="175">
        <f t="shared" si="12"/>
        <v>0</v>
      </c>
      <c r="C96" s="175">
        <f t="shared" si="13"/>
        <v>0</v>
      </c>
      <c r="D96" s="172">
        <f t="shared" si="14"/>
        <v>0</v>
      </c>
      <c r="H96" s="118"/>
      <c r="I96" s="118"/>
    </row>
    <row r="97" spans="1:9" ht="24" customHeight="1" x14ac:dyDescent="0.25">
      <c r="A97" s="51" t="s">
        <v>259</v>
      </c>
      <c r="B97" s="175">
        <f t="shared" si="12"/>
        <v>0</v>
      </c>
      <c r="C97" s="175">
        <f t="shared" si="13"/>
        <v>0</v>
      </c>
      <c r="D97" s="172">
        <f t="shared" si="14"/>
        <v>0</v>
      </c>
      <c r="H97" s="118"/>
      <c r="I97" s="118"/>
    </row>
    <row r="99" spans="1:9" ht="24" customHeight="1" x14ac:dyDescent="0.25">
      <c r="A99" s="132" t="s">
        <v>5</v>
      </c>
      <c r="B99" s="132"/>
      <c r="C99" s="132"/>
      <c r="D99" s="132"/>
      <c r="E99" s="132"/>
      <c r="F99" s="132"/>
      <c r="G99" s="132"/>
      <c r="H99" s="132"/>
      <c r="I99" s="132"/>
    </row>
    <row r="100" spans="1:9" ht="42" customHeight="1" x14ac:dyDescent="0.25">
      <c r="A100" s="156" t="s">
        <v>138</v>
      </c>
      <c r="B100" s="156"/>
      <c r="C100" s="156"/>
      <c r="D100" s="156"/>
      <c r="E100" s="156"/>
      <c r="F100" s="156"/>
      <c r="G100" s="156"/>
      <c r="H100" s="156"/>
      <c r="I100" s="156"/>
    </row>
    <row r="101" spans="1:9" ht="30.75" customHeight="1" x14ac:dyDescent="0.25"/>
    <row r="102" spans="1:9" ht="24" customHeight="1" x14ac:dyDescent="0.25">
      <c r="A102" s="166" t="s">
        <v>5</v>
      </c>
      <c r="B102" s="166"/>
      <c r="C102" s="166"/>
      <c r="D102" s="166"/>
      <c r="E102" s="166"/>
      <c r="F102" s="166"/>
      <c r="G102" s="166"/>
      <c r="H102" s="19"/>
    </row>
    <row r="103" spans="1:9" ht="47.25" x14ac:dyDescent="0.25">
      <c r="A103" s="4" t="s">
        <v>3</v>
      </c>
      <c r="B103" s="5" t="s">
        <v>13</v>
      </c>
      <c r="C103" s="58" t="s">
        <v>139</v>
      </c>
      <c r="D103" s="58" t="s">
        <v>145</v>
      </c>
      <c r="E103" s="5" t="s">
        <v>11</v>
      </c>
      <c r="F103" s="221"/>
      <c r="G103" s="6" t="s">
        <v>14</v>
      </c>
    </row>
    <row r="104" spans="1:9" ht="24" customHeight="1" x14ac:dyDescent="0.25">
      <c r="A104" s="199" t="s">
        <v>252</v>
      </c>
      <c r="B104" s="201">
        <f>B12</f>
        <v>1727.2727272727273</v>
      </c>
      <c r="C104" s="201">
        <f>D28</f>
        <v>0</v>
      </c>
      <c r="D104" s="201">
        <f>D44</f>
        <v>324.20000000000005</v>
      </c>
      <c r="E104" s="201">
        <f>D88</f>
        <v>0</v>
      </c>
      <c r="F104" s="201"/>
      <c r="G104" s="202">
        <f>SUM(B104:E104)</f>
        <v>2051.4727272727273</v>
      </c>
    </row>
    <row r="105" spans="1:9" ht="24" customHeight="1" x14ac:dyDescent="0.25">
      <c r="A105" s="200" t="s">
        <v>251</v>
      </c>
      <c r="B105" s="201">
        <f t="shared" ref="B105:B113" si="15">B13</f>
        <v>1900</v>
      </c>
      <c r="C105" s="201">
        <f t="shared" ref="C105:C113" si="16">D29</f>
        <v>0</v>
      </c>
      <c r="D105" s="201">
        <f t="shared" ref="D105:D113" si="17">D45</f>
        <v>324.20000000000005</v>
      </c>
      <c r="E105" s="201">
        <f t="shared" ref="E105:E113" si="18">D89</f>
        <v>0</v>
      </c>
      <c r="F105" s="201"/>
      <c r="G105" s="202">
        <f>SUM(B105:E105)</f>
        <v>2224.1999999999998</v>
      </c>
    </row>
    <row r="106" spans="1:9" ht="24" customHeight="1" x14ac:dyDescent="0.25">
      <c r="A106" s="199" t="s">
        <v>250</v>
      </c>
      <c r="B106" s="201">
        <f t="shared" si="15"/>
        <v>1900</v>
      </c>
      <c r="C106" s="201">
        <f t="shared" si="16"/>
        <v>0</v>
      </c>
      <c r="D106" s="201">
        <f t="shared" si="17"/>
        <v>324.20000000000005</v>
      </c>
      <c r="E106" s="201">
        <f t="shared" si="18"/>
        <v>481.90999999999997</v>
      </c>
      <c r="F106" s="201"/>
      <c r="G106" s="202">
        <f>SUM(B106:E106)</f>
        <v>2706.1099999999997</v>
      </c>
    </row>
    <row r="107" spans="1:9" ht="24" customHeight="1" x14ac:dyDescent="0.25">
      <c r="A107" s="199" t="s">
        <v>253</v>
      </c>
      <c r="B107" s="201">
        <f t="shared" si="15"/>
        <v>1961</v>
      </c>
      <c r="C107" s="201">
        <f t="shared" si="16"/>
        <v>0</v>
      </c>
      <c r="D107" s="201">
        <f t="shared" si="17"/>
        <v>324.20000000000005</v>
      </c>
      <c r="E107" s="201">
        <f t="shared" si="18"/>
        <v>0</v>
      </c>
      <c r="F107" s="201"/>
      <c r="G107" s="202">
        <f>SUM(B107:E107)</f>
        <v>2285.1999999999998</v>
      </c>
    </row>
    <row r="108" spans="1:9" ht="24" customHeight="1" x14ac:dyDescent="0.25">
      <c r="A108" s="199" t="s">
        <v>254</v>
      </c>
      <c r="B108" s="201">
        <f t="shared" si="15"/>
        <v>1961</v>
      </c>
      <c r="C108" s="201">
        <f t="shared" si="16"/>
        <v>0</v>
      </c>
      <c r="D108" s="201">
        <f t="shared" si="17"/>
        <v>324.20000000000005</v>
      </c>
      <c r="E108" s="201">
        <f t="shared" si="18"/>
        <v>0</v>
      </c>
      <c r="F108" s="201"/>
      <c r="G108" s="202">
        <f>SUM(B108:E108)</f>
        <v>2285.1999999999998</v>
      </c>
    </row>
    <row r="109" spans="1:9" ht="24" customHeight="1" x14ac:dyDescent="0.25">
      <c r="A109" s="199" t="s">
        <v>255</v>
      </c>
      <c r="B109" s="201">
        <f t="shared" si="15"/>
        <v>1961</v>
      </c>
      <c r="C109" s="201">
        <f t="shared" si="16"/>
        <v>0</v>
      </c>
      <c r="D109" s="201">
        <f t="shared" si="17"/>
        <v>324.20000000000005</v>
      </c>
      <c r="E109" s="201">
        <f t="shared" si="18"/>
        <v>212.19714285714281</v>
      </c>
      <c r="F109" s="201"/>
      <c r="G109" s="202">
        <f>SUM(B109:E109)</f>
        <v>2497.3971428571426</v>
      </c>
    </row>
    <row r="110" spans="1:9" ht="24" customHeight="1" x14ac:dyDescent="0.25">
      <c r="A110" s="199" t="s">
        <v>256</v>
      </c>
      <c r="B110" s="201">
        <f t="shared" si="15"/>
        <v>1961</v>
      </c>
      <c r="C110" s="201">
        <f t="shared" si="16"/>
        <v>0</v>
      </c>
      <c r="D110" s="201">
        <f t="shared" si="17"/>
        <v>324.20000000000005</v>
      </c>
      <c r="E110" s="201">
        <f t="shared" si="18"/>
        <v>0</v>
      </c>
      <c r="F110" s="201"/>
      <c r="G110" s="202">
        <f>SUM(B110:E110)</f>
        <v>2285.1999999999998</v>
      </c>
    </row>
    <row r="111" spans="1:9" ht="24" customHeight="1" x14ac:dyDescent="0.25">
      <c r="A111" s="199" t="s">
        <v>258</v>
      </c>
      <c r="B111" s="201">
        <f t="shared" si="15"/>
        <v>1727.2727272727273</v>
      </c>
      <c r="C111" s="201">
        <f t="shared" si="16"/>
        <v>131</v>
      </c>
      <c r="D111" s="201">
        <f t="shared" si="17"/>
        <v>324.20000000000005</v>
      </c>
      <c r="E111" s="201">
        <f t="shared" si="18"/>
        <v>0</v>
      </c>
      <c r="F111" s="201"/>
      <c r="G111" s="202">
        <f>SUM(B111:E111)</f>
        <v>2182.4727272727273</v>
      </c>
    </row>
    <row r="112" spans="1:9" ht="24" customHeight="1" x14ac:dyDescent="0.25">
      <c r="A112" s="199" t="s">
        <v>260</v>
      </c>
      <c r="B112" s="201">
        <f t="shared" si="15"/>
        <v>3023</v>
      </c>
      <c r="C112" s="201">
        <f t="shared" si="16"/>
        <v>0</v>
      </c>
      <c r="D112" s="201">
        <f t="shared" si="17"/>
        <v>324.20000000000005</v>
      </c>
      <c r="E112" s="201">
        <f t="shared" si="18"/>
        <v>0</v>
      </c>
      <c r="F112" s="201"/>
      <c r="G112" s="202">
        <f>SUM(B112:E112)</f>
        <v>3347.2</v>
      </c>
    </row>
    <row r="113" spans="1:9" ht="24" customHeight="1" x14ac:dyDescent="0.25">
      <c r="A113" s="199" t="s">
        <v>259</v>
      </c>
      <c r="B113" s="201">
        <f t="shared" si="15"/>
        <v>3023</v>
      </c>
      <c r="C113" s="201">
        <f t="shared" si="16"/>
        <v>0</v>
      </c>
      <c r="D113" s="201">
        <f t="shared" si="17"/>
        <v>324.20000000000005</v>
      </c>
      <c r="E113" s="201">
        <f t="shared" si="18"/>
        <v>0</v>
      </c>
      <c r="F113" s="201"/>
      <c r="G113" s="202">
        <f>SUM(B113:E113)</f>
        <v>3347.2</v>
      </c>
    </row>
    <row r="114" spans="1:9" ht="24" customHeight="1" x14ac:dyDescent="0.25">
      <c r="B114" s="167"/>
      <c r="C114" s="167"/>
      <c r="D114" s="167"/>
      <c r="E114" s="167"/>
      <c r="F114" s="167"/>
      <c r="G114" s="167"/>
    </row>
    <row r="115" spans="1:9" ht="24" customHeight="1" x14ac:dyDescent="0.25">
      <c r="A115" s="132" t="s">
        <v>130</v>
      </c>
      <c r="B115" s="132"/>
      <c r="C115" s="132"/>
      <c r="D115" s="132"/>
      <c r="E115" s="132"/>
      <c r="F115" s="132"/>
      <c r="G115" s="132"/>
      <c r="H115" s="132"/>
      <c r="I115" s="132"/>
    </row>
    <row r="117" spans="1:9" ht="24" customHeight="1" x14ac:dyDescent="0.25">
      <c r="A117" s="137" t="s">
        <v>133</v>
      </c>
      <c r="B117" s="138"/>
      <c r="C117" s="138"/>
      <c r="D117" s="138"/>
      <c r="E117" s="138"/>
      <c r="F117" s="138"/>
      <c r="G117" s="138"/>
      <c r="H117" s="138"/>
      <c r="I117" s="138"/>
    </row>
    <row r="118" spans="1:9" ht="16.5" thickBot="1" x14ac:dyDescent="0.3"/>
    <row r="119" spans="1:9" ht="31.5" customHeight="1" thickBot="1" x14ac:dyDescent="0.3">
      <c r="A119" s="136" t="s">
        <v>143</v>
      </c>
      <c r="B119" s="134"/>
      <c r="C119" s="134"/>
      <c r="D119" s="135"/>
      <c r="E119" s="65"/>
      <c r="F119" s="120"/>
    </row>
    <row r="120" spans="1:9" ht="31.5" x14ac:dyDescent="0.25">
      <c r="A120" s="4" t="s">
        <v>3</v>
      </c>
      <c r="B120" s="5" t="s">
        <v>1</v>
      </c>
      <c r="C120" s="58" t="s">
        <v>132</v>
      </c>
      <c r="D120" s="6" t="s">
        <v>4</v>
      </c>
    </row>
    <row r="121" spans="1:9" ht="24" customHeight="1" x14ac:dyDescent="0.25">
      <c r="A121" s="199" t="s">
        <v>252</v>
      </c>
      <c r="B121" s="175">
        <f>G104</f>
        <v>2051.4727272727273</v>
      </c>
      <c r="C121" s="54">
        <f>1/12</f>
        <v>8.3333333333333329E-2</v>
      </c>
      <c r="D121" s="172">
        <f>B121*C121</f>
        <v>170.95606060606059</v>
      </c>
    </row>
    <row r="122" spans="1:9" ht="24" customHeight="1" x14ac:dyDescent="0.25">
      <c r="A122" s="200" t="s">
        <v>251</v>
      </c>
      <c r="B122" s="175">
        <f t="shared" ref="B122:B130" si="19">G105</f>
        <v>2224.1999999999998</v>
      </c>
      <c r="C122" s="54">
        <f t="shared" ref="C122:C130" si="20">1/12</f>
        <v>8.3333333333333329E-2</v>
      </c>
      <c r="D122" s="172">
        <f t="shared" ref="D122:D130" si="21">B122*C122</f>
        <v>185.34999999999997</v>
      </c>
    </row>
    <row r="123" spans="1:9" ht="24" customHeight="1" x14ac:dyDescent="0.25">
      <c r="A123" s="199" t="s">
        <v>250</v>
      </c>
      <c r="B123" s="175">
        <f t="shared" si="19"/>
        <v>2706.1099999999997</v>
      </c>
      <c r="C123" s="54">
        <f t="shared" si="20"/>
        <v>8.3333333333333329E-2</v>
      </c>
      <c r="D123" s="172">
        <f t="shared" si="21"/>
        <v>225.50916666666663</v>
      </c>
    </row>
    <row r="124" spans="1:9" ht="24" customHeight="1" x14ac:dyDescent="0.25">
      <c r="A124" s="199" t="s">
        <v>253</v>
      </c>
      <c r="B124" s="175">
        <f t="shared" si="19"/>
        <v>2285.1999999999998</v>
      </c>
      <c r="C124" s="54">
        <f t="shared" si="20"/>
        <v>8.3333333333333329E-2</v>
      </c>
      <c r="D124" s="172">
        <f t="shared" si="21"/>
        <v>190.43333333333331</v>
      </c>
    </row>
    <row r="125" spans="1:9" ht="24" customHeight="1" x14ac:dyDescent="0.25">
      <c r="A125" s="199" t="s">
        <v>254</v>
      </c>
      <c r="B125" s="175">
        <f t="shared" si="19"/>
        <v>2285.1999999999998</v>
      </c>
      <c r="C125" s="54">
        <f t="shared" si="20"/>
        <v>8.3333333333333329E-2</v>
      </c>
      <c r="D125" s="172">
        <f t="shared" si="21"/>
        <v>190.43333333333331</v>
      </c>
    </row>
    <row r="126" spans="1:9" ht="24" customHeight="1" x14ac:dyDescent="0.25">
      <c r="A126" s="199" t="s">
        <v>255</v>
      </c>
      <c r="B126" s="175">
        <f t="shared" si="19"/>
        <v>2497.3971428571426</v>
      </c>
      <c r="C126" s="54">
        <f t="shared" si="20"/>
        <v>8.3333333333333329E-2</v>
      </c>
      <c r="D126" s="172">
        <f t="shared" si="21"/>
        <v>208.11642857142854</v>
      </c>
    </row>
    <row r="127" spans="1:9" ht="24" customHeight="1" x14ac:dyDescent="0.25">
      <c r="A127" s="199" t="s">
        <v>256</v>
      </c>
      <c r="B127" s="175">
        <f t="shared" si="19"/>
        <v>2285.1999999999998</v>
      </c>
      <c r="C127" s="54">
        <f t="shared" si="20"/>
        <v>8.3333333333333329E-2</v>
      </c>
      <c r="D127" s="172">
        <f t="shared" si="21"/>
        <v>190.43333333333331</v>
      </c>
    </row>
    <row r="128" spans="1:9" ht="24" customHeight="1" x14ac:dyDescent="0.25">
      <c r="A128" s="199" t="s">
        <v>258</v>
      </c>
      <c r="B128" s="175">
        <f t="shared" si="19"/>
        <v>2182.4727272727273</v>
      </c>
      <c r="C128" s="54">
        <f t="shared" si="20"/>
        <v>8.3333333333333329E-2</v>
      </c>
      <c r="D128" s="172">
        <f t="shared" si="21"/>
        <v>181.87272727272727</v>
      </c>
    </row>
    <row r="129" spans="1:4" ht="24" customHeight="1" x14ac:dyDescent="0.25">
      <c r="A129" s="199" t="s">
        <v>260</v>
      </c>
      <c r="B129" s="175">
        <f t="shared" si="19"/>
        <v>3347.2</v>
      </c>
      <c r="C129" s="54">
        <f t="shared" si="20"/>
        <v>8.3333333333333329E-2</v>
      </c>
      <c r="D129" s="172">
        <f t="shared" si="21"/>
        <v>278.93333333333328</v>
      </c>
    </row>
    <row r="130" spans="1:4" ht="24" customHeight="1" x14ac:dyDescent="0.25">
      <c r="A130" s="199" t="s">
        <v>259</v>
      </c>
      <c r="B130" s="175">
        <f t="shared" si="19"/>
        <v>3347.2</v>
      </c>
      <c r="C130" s="54">
        <f t="shared" si="20"/>
        <v>8.3333333333333329E-2</v>
      </c>
      <c r="D130" s="172">
        <f t="shared" si="21"/>
        <v>278.93333333333328</v>
      </c>
    </row>
    <row r="131" spans="1:4" ht="16.5" thickBot="1" x14ac:dyDescent="0.3"/>
    <row r="132" spans="1:4" ht="36.75" customHeight="1" thickBot="1" x14ac:dyDescent="0.3">
      <c r="A132" s="136" t="s">
        <v>144</v>
      </c>
      <c r="B132" s="134"/>
      <c r="C132" s="134"/>
      <c r="D132" s="135"/>
    </row>
    <row r="133" spans="1:4" ht="30.75" customHeight="1" x14ac:dyDescent="0.25">
      <c r="A133" s="4" t="s">
        <v>3</v>
      </c>
      <c r="B133" s="5" t="s">
        <v>1</v>
      </c>
      <c r="C133" s="58" t="s">
        <v>132</v>
      </c>
      <c r="D133" s="6" t="s">
        <v>4</v>
      </c>
    </row>
    <row r="134" spans="1:4" ht="24" customHeight="1" x14ac:dyDescent="0.25">
      <c r="A134" s="199" t="s">
        <v>252</v>
      </c>
      <c r="B134" s="175">
        <f>G104</f>
        <v>2051.4727272727273</v>
      </c>
      <c r="C134" s="54">
        <f>1/12</f>
        <v>8.3333333333333329E-2</v>
      </c>
      <c r="D134" s="172">
        <f>B134*C134</f>
        <v>170.95606060606059</v>
      </c>
    </row>
    <row r="135" spans="1:4" ht="24" customHeight="1" x14ac:dyDescent="0.25">
      <c r="A135" s="200" t="s">
        <v>251</v>
      </c>
      <c r="B135" s="175">
        <f t="shared" ref="B135:B143" si="22">G105</f>
        <v>2224.1999999999998</v>
      </c>
      <c r="C135" s="54">
        <f t="shared" ref="C135:C143" si="23">1/12</f>
        <v>8.3333333333333329E-2</v>
      </c>
      <c r="D135" s="172">
        <f t="shared" ref="D135:D143" si="24">B135*C135</f>
        <v>185.34999999999997</v>
      </c>
    </row>
    <row r="136" spans="1:4" ht="24" customHeight="1" x14ac:dyDescent="0.25">
      <c r="A136" s="199" t="s">
        <v>250</v>
      </c>
      <c r="B136" s="175">
        <f t="shared" si="22"/>
        <v>2706.1099999999997</v>
      </c>
      <c r="C136" s="54">
        <f t="shared" si="23"/>
        <v>8.3333333333333329E-2</v>
      </c>
      <c r="D136" s="172">
        <f t="shared" si="24"/>
        <v>225.50916666666663</v>
      </c>
    </row>
    <row r="137" spans="1:4" ht="24" customHeight="1" x14ac:dyDescent="0.25">
      <c r="A137" s="199" t="s">
        <v>253</v>
      </c>
      <c r="B137" s="175">
        <f t="shared" si="22"/>
        <v>2285.1999999999998</v>
      </c>
      <c r="C137" s="54">
        <f t="shared" si="23"/>
        <v>8.3333333333333329E-2</v>
      </c>
      <c r="D137" s="172">
        <f t="shared" si="24"/>
        <v>190.43333333333331</v>
      </c>
    </row>
    <row r="138" spans="1:4" ht="24" customHeight="1" x14ac:dyDescent="0.25">
      <c r="A138" s="199" t="s">
        <v>254</v>
      </c>
      <c r="B138" s="175">
        <f t="shared" si="22"/>
        <v>2285.1999999999998</v>
      </c>
      <c r="C138" s="54">
        <f t="shared" si="23"/>
        <v>8.3333333333333329E-2</v>
      </c>
      <c r="D138" s="172">
        <f t="shared" si="24"/>
        <v>190.43333333333331</v>
      </c>
    </row>
    <row r="139" spans="1:4" ht="24" customHeight="1" x14ac:dyDescent="0.25">
      <c r="A139" s="199" t="s">
        <v>255</v>
      </c>
      <c r="B139" s="175">
        <f t="shared" si="22"/>
        <v>2497.3971428571426</v>
      </c>
      <c r="C139" s="54">
        <f t="shared" si="23"/>
        <v>8.3333333333333329E-2</v>
      </c>
      <c r="D139" s="172">
        <f t="shared" si="24"/>
        <v>208.11642857142854</v>
      </c>
    </row>
    <row r="140" spans="1:4" ht="24" customHeight="1" x14ac:dyDescent="0.25">
      <c r="A140" s="199" t="s">
        <v>256</v>
      </c>
      <c r="B140" s="175">
        <f t="shared" si="22"/>
        <v>2285.1999999999998</v>
      </c>
      <c r="C140" s="54">
        <f t="shared" si="23"/>
        <v>8.3333333333333329E-2</v>
      </c>
      <c r="D140" s="172">
        <f t="shared" si="24"/>
        <v>190.43333333333331</v>
      </c>
    </row>
    <row r="141" spans="1:4" ht="24" customHeight="1" x14ac:dyDescent="0.25">
      <c r="A141" s="199" t="s">
        <v>258</v>
      </c>
      <c r="B141" s="175">
        <f t="shared" si="22"/>
        <v>2182.4727272727273</v>
      </c>
      <c r="C141" s="54">
        <f t="shared" si="23"/>
        <v>8.3333333333333329E-2</v>
      </c>
      <c r="D141" s="172">
        <f t="shared" si="24"/>
        <v>181.87272727272727</v>
      </c>
    </row>
    <row r="142" spans="1:4" ht="24" customHeight="1" x14ac:dyDescent="0.25">
      <c r="A142" s="199" t="s">
        <v>260</v>
      </c>
      <c r="B142" s="175">
        <f t="shared" si="22"/>
        <v>3347.2</v>
      </c>
      <c r="C142" s="54">
        <f t="shared" si="23"/>
        <v>8.3333333333333329E-2</v>
      </c>
      <c r="D142" s="172">
        <f t="shared" si="24"/>
        <v>278.93333333333328</v>
      </c>
    </row>
    <row r="143" spans="1:4" ht="24" customHeight="1" x14ac:dyDescent="0.25">
      <c r="A143" s="199" t="s">
        <v>259</v>
      </c>
      <c r="B143" s="175">
        <f t="shared" si="22"/>
        <v>3347.2</v>
      </c>
      <c r="C143" s="54">
        <f t="shared" si="23"/>
        <v>8.3333333333333329E-2</v>
      </c>
      <c r="D143" s="172">
        <f t="shared" si="24"/>
        <v>278.93333333333328</v>
      </c>
    </row>
    <row r="144" spans="1:4" ht="38.25" customHeight="1" thickBot="1" x14ac:dyDescent="0.3"/>
    <row r="145" spans="1:6" ht="24" customHeight="1" thickBot="1" x14ac:dyDescent="0.3">
      <c r="A145" s="144" t="s">
        <v>15</v>
      </c>
      <c r="B145" s="145"/>
      <c r="C145" s="145"/>
      <c r="D145" s="145"/>
      <c r="E145" s="146"/>
      <c r="F145" s="119"/>
    </row>
    <row r="146" spans="1:6" ht="30" customHeight="1" x14ac:dyDescent="0.25">
      <c r="A146" s="4" t="s">
        <v>3</v>
      </c>
      <c r="B146" s="5" t="s">
        <v>1</v>
      </c>
      <c r="C146" s="58" t="s">
        <v>16</v>
      </c>
      <c r="D146" s="58" t="s">
        <v>132</v>
      </c>
      <c r="E146" s="6" t="s">
        <v>4</v>
      </c>
      <c r="F146" s="122"/>
    </row>
    <row r="147" spans="1:6" ht="24" customHeight="1" x14ac:dyDescent="0.25">
      <c r="A147" s="199" t="s">
        <v>252</v>
      </c>
      <c r="B147" s="175">
        <f>G104</f>
        <v>2051.4727272727273</v>
      </c>
      <c r="C147" s="55">
        <f>1/3</f>
        <v>0.33333333333333331</v>
      </c>
      <c r="D147" s="54">
        <f>1/12</f>
        <v>8.3333333333333329E-2</v>
      </c>
      <c r="E147" s="172">
        <f>B147*C147*D147</f>
        <v>56.985353535353525</v>
      </c>
      <c r="F147" s="173"/>
    </row>
    <row r="148" spans="1:6" ht="24" customHeight="1" x14ac:dyDescent="0.25">
      <c r="A148" s="200" t="s">
        <v>251</v>
      </c>
      <c r="B148" s="175">
        <f t="shared" ref="B148:B156" si="25">G105</f>
        <v>2224.1999999999998</v>
      </c>
      <c r="C148" s="55">
        <f t="shared" ref="C148:C156" si="26">1/3</f>
        <v>0.33333333333333331</v>
      </c>
      <c r="D148" s="54">
        <f t="shared" ref="D148:D156" si="27">1/12</f>
        <v>8.3333333333333329E-2</v>
      </c>
      <c r="E148" s="172">
        <f t="shared" ref="E148:E156" si="28">B148*C148*D148</f>
        <v>61.783333333333317</v>
      </c>
      <c r="F148" s="173"/>
    </row>
    <row r="149" spans="1:6" ht="24" customHeight="1" x14ac:dyDescent="0.25">
      <c r="A149" s="199" t="s">
        <v>250</v>
      </c>
      <c r="B149" s="175">
        <f t="shared" si="25"/>
        <v>2706.1099999999997</v>
      </c>
      <c r="C149" s="55">
        <f t="shared" si="26"/>
        <v>0.33333333333333331</v>
      </c>
      <c r="D149" s="54">
        <f t="shared" si="27"/>
        <v>8.3333333333333329E-2</v>
      </c>
      <c r="E149" s="172">
        <f t="shared" si="28"/>
        <v>75.169722222222205</v>
      </c>
      <c r="F149" s="173"/>
    </row>
    <row r="150" spans="1:6" ht="24" customHeight="1" x14ac:dyDescent="0.25">
      <c r="A150" s="199" t="s">
        <v>253</v>
      </c>
      <c r="B150" s="175">
        <f t="shared" si="25"/>
        <v>2285.1999999999998</v>
      </c>
      <c r="C150" s="55">
        <f t="shared" si="26"/>
        <v>0.33333333333333331</v>
      </c>
      <c r="D150" s="54">
        <f t="shared" si="27"/>
        <v>8.3333333333333329E-2</v>
      </c>
      <c r="E150" s="172">
        <f t="shared" si="28"/>
        <v>63.477777777777767</v>
      </c>
      <c r="F150" s="173"/>
    </row>
    <row r="151" spans="1:6" ht="24" customHeight="1" x14ac:dyDescent="0.25">
      <c r="A151" s="199" t="s">
        <v>254</v>
      </c>
      <c r="B151" s="175">
        <f t="shared" si="25"/>
        <v>2285.1999999999998</v>
      </c>
      <c r="C151" s="55">
        <f t="shared" si="26"/>
        <v>0.33333333333333331</v>
      </c>
      <c r="D151" s="54">
        <f t="shared" si="27"/>
        <v>8.3333333333333329E-2</v>
      </c>
      <c r="E151" s="172">
        <f t="shared" si="28"/>
        <v>63.477777777777767</v>
      </c>
      <c r="F151" s="173"/>
    </row>
    <row r="152" spans="1:6" ht="24" customHeight="1" x14ac:dyDescent="0.25">
      <c r="A152" s="199" t="s">
        <v>255</v>
      </c>
      <c r="B152" s="175">
        <f t="shared" si="25"/>
        <v>2497.3971428571426</v>
      </c>
      <c r="C152" s="55">
        <f t="shared" si="26"/>
        <v>0.33333333333333331</v>
      </c>
      <c r="D152" s="54">
        <f t="shared" si="27"/>
        <v>8.3333333333333329E-2</v>
      </c>
      <c r="E152" s="172">
        <f t="shared" si="28"/>
        <v>69.372142857142848</v>
      </c>
      <c r="F152" s="173"/>
    </row>
    <row r="153" spans="1:6" ht="24" customHeight="1" x14ac:dyDescent="0.25">
      <c r="A153" s="199" t="s">
        <v>256</v>
      </c>
      <c r="B153" s="175">
        <f t="shared" si="25"/>
        <v>2285.1999999999998</v>
      </c>
      <c r="C153" s="55">
        <f t="shared" si="26"/>
        <v>0.33333333333333331</v>
      </c>
      <c r="D153" s="54">
        <f t="shared" si="27"/>
        <v>8.3333333333333329E-2</v>
      </c>
      <c r="E153" s="172">
        <f t="shared" si="28"/>
        <v>63.477777777777767</v>
      </c>
      <c r="F153" s="173"/>
    </row>
    <row r="154" spans="1:6" ht="24" customHeight="1" x14ac:dyDescent="0.25">
      <c r="A154" s="199" t="s">
        <v>258</v>
      </c>
      <c r="B154" s="175">
        <f t="shared" si="25"/>
        <v>2182.4727272727273</v>
      </c>
      <c r="C154" s="55">
        <f t="shared" si="26"/>
        <v>0.33333333333333331</v>
      </c>
      <c r="D154" s="54">
        <f t="shared" si="27"/>
        <v>8.3333333333333329E-2</v>
      </c>
      <c r="E154" s="172">
        <f t="shared" si="28"/>
        <v>60.624242424242425</v>
      </c>
      <c r="F154" s="173"/>
    </row>
    <row r="155" spans="1:6" ht="24" customHeight="1" x14ac:dyDescent="0.25">
      <c r="A155" s="199" t="s">
        <v>260</v>
      </c>
      <c r="B155" s="175">
        <f t="shared" si="25"/>
        <v>3347.2</v>
      </c>
      <c r="C155" s="55">
        <f t="shared" si="26"/>
        <v>0.33333333333333331</v>
      </c>
      <c r="D155" s="54">
        <f t="shared" si="27"/>
        <v>8.3333333333333329E-2</v>
      </c>
      <c r="E155" s="172">
        <f t="shared" si="28"/>
        <v>92.97777777777776</v>
      </c>
      <c r="F155" s="173"/>
    </row>
    <row r="156" spans="1:6" ht="24" customHeight="1" x14ac:dyDescent="0.25">
      <c r="A156" s="199" t="s">
        <v>259</v>
      </c>
      <c r="B156" s="175">
        <f t="shared" si="25"/>
        <v>3347.2</v>
      </c>
      <c r="C156" s="55">
        <f t="shared" si="26"/>
        <v>0.33333333333333331</v>
      </c>
      <c r="D156" s="54">
        <f t="shared" si="27"/>
        <v>8.3333333333333329E-2</v>
      </c>
      <c r="E156" s="172">
        <f t="shared" si="28"/>
        <v>92.97777777777776</v>
      </c>
      <c r="F156" s="173"/>
    </row>
    <row r="157" spans="1:6" ht="24" customHeight="1" thickBot="1" x14ac:dyDescent="0.3"/>
    <row r="158" spans="1:6" ht="24" customHeight="1" thickBot="1" x14ac:dyDescent="0.3">
      <c r="A158" s="140" t="s">
        <v>133</v>
      </c>
      <c r="B158" s="141"/>
      <c r="C158" s="141"/>
      <c r="D158" s="141"/>
      <c r="E158" s="142"/>
      <c r="F158" s="226"/>
    </row>
    <row r="159" spans="1:6" ht="24" customHeight="1" x14ac:dyDescent="0.25">
      <c r="A159" s="4" t="s">
        <v>3</v>
      </c>
      <c r="B159" s="5" t="s">
        <v>129</v>
      </c>
      <c r="C159" s="5" t="s">
        <v>128</v>
      </c>
      <c r="D159" s="5" t="s">
        <v>17</v>
      </c>
      <c r="E159" s="6" t="s">
        <v>14</v>
      </c>
      <c r="F159" s="226"/>
    </row>
    <row r="160" spans="1:6" ht="24" customHeight="1" x14ac:dyDescent="0.25">
      <c r="A160" s="199" t="s">
        <v>252</v>
      </c>
      <c r="B160" s="175">
        <f>D121</f>
        <v>170.95606060606059</v>
      </c>
      <c r="C160" s="175">
        <f>D134</f>
        <v>170.95606060606059</v>
      </c>
      <c r="D160" s="175">
        <f>E147</f>
        <v>56.985353535353525</v>
      </c>
      <c r="E160" s="172">
        <f t="shared" ref="E160:E169" si="29">SUM(B160:D160)</f>
        <v>398.89747474747469</v>
      </c>
      <c r="F160" s="173"/>
    </row>
    <row r="161" spans="1:9" ht="24" customHeight="1" x14ac:dyDescent="0.25">
      <c r="A161" s="200" t="s">
        <v>251</v>
      </c>
      <c r="B161" s="175">
        <f t="shared" ref="B161:B169" si="30">D122</f>
        <v>185.34999999999997</v>
      </c>
      <c r="C161" s="175">
        <f t="shared" ref="C161:C169" si="31">D135</f>
        <v>185.34999999999997</v>
      </c>
      <c r="D161" s="175">
        <f t="shared" ref="D161:D169" si="32">E148</f>
        <v>61.783333333333317</v>
      </c>
      <c r="E161" s="172">
        <f t="shared" si="29"/>
        <v>432.48333333333323</v>
      </c>
      <c r="F161" s="173"/>
    </row>
    <row r="162" spans="1:9" ht="24" customHeight="1" x14ac:dyDescent="0.25">
      <c r="A162" s="199" t="s">
        <v>250</v>
      </c>
      <c r="B162" s="175">
        <f t="shared" si="30"/>
        <v>225.50916666666663</v>
      </c>
      <c r="C162" s="175">
        <f t="shared" si="31"/>
        <v>225.50916666666663</v>
      </c>
      <c r="D162" s="175">
        <f t="shared" si="32"/>
        <v>75.169722222222205</v>
      </c>
      <c r="E162" s="172">
        <f t="shared" si="29"/>
        <v>526.18805555555548</v>
      </c>
      <c r="F162" s="173"/>
    </row>
    <row r="163" spans="1:9" ht="24" customHeight="1" x14ac:dyDescent="0.25">
      <c r="A163" s="199" t="s">
        <v>253</v>
      </c>
      <c r="B163" s="175">
        <f t="shared" si="30"/>
        <v>190.43333333333331</v>
      </c>
      <c r="C163" s="175">
        <f t="shared" si="31"/>
        <v>190.43333333333331</v>
      </c>
      <c r="D163" s="175">
        <f t="shared" si="32"/>
        <v>63.477777777777767</v>
      </c>
      <c r="E163" s="172">
        <f t="shared" si="29"/>
        <v>444.34444444444438</v>
      </c>
      <c r="F163" s="173"/>
    </row>
    <row r="164" spans="1:9" ht="24" customHeight="1" x14ac:dyDescent="0.25">
      <c r="A164" s="199" t="s">
        <v>254</v>
      </c>
      <c r="B164" s="175">
        <f t="shared" si="30"/>
        <v>190.43333333333331</v>
      </c>
      <c r="C164" s="175">
        <f t="shared" si="31"/>
        <v>190.43333333333331</v>
      </c>
      <c r="D164" s="175">
        <f t="shared" si="32"/>
        <v>63.477777777777767</v>
      </c>
      <c r="E164" s="172">
        <f t="shared" si="29"/>
        <v>444.34444444444438</v>
      </c>
      <c r="F164" s="173"/>
    </row>
    <row r="165" spans="1:9" ht="24" customHeight="1" x14ac:dyDescent="0.25">
      <c r="A165" s="199" t="s">
        <v>255</v>
      </c>
      <c r="B165" s="175">
        <f t="shared" si="30"/>
        <v>208.11642857142854</v>
      </c>
      <c r="C165" s="175">
        <f t="shared" si="31"/>
        <v>208.11642857142854</v>
      </c>
      <c r="D165" s="175">
        <f t="shared" si="32"/>
        <v>69.372142857142848</v>
      </c>
      <c r="E165" s="172">
        <f t="shared" si="29"/>
        <v>485.6049999999999</v>
      </c>
      <c r="F165" s="173"/>
    </row>
    <row r="166" spans="1:9" ht="24" customHeight="1" x14ac:dyDescent="0.25">
      <c r="A166" s="199" t="s">
        <v>256</v>
      </c>
      <c r="B166" s="175">
        <f t="shared" si="30"/>
        <v>190.43333333333331</v>
      </c>
      <c r="C166" s="175">
        <f t="shared" si="31"/>
        <v>190.43333333333331</v>
      </c>
      <c r="D166" s="175">
        <f t="shared" si="32"/>
        <v>63.477777777777767</v>
      </c>
      <c r="E166" s="172">
        <f t="shared" si="29"/>
        <v>444.34444444444438</v>
      </c>
      <c r="F166" s="173"/>
    </row>
    <row r="167" spans="1:9" ht="24" customHeight="1" x14ac:dyDescent="0.25">
      <c r="A167" s="199" t="s">
        <v>258</v>
      </c>
      <c r="B167" s="175">
        <f t="shared" si="30"/>
        <v>181.87272727272727</v>
      </c>
      <c r="C167" s="175">
        <f t="shared" si="31"/>
        <v>181.87272727272727</v>
      </c>
      <c r="D167" s="175">
        <f t="shared" si="32"/>
        <v>60.624242424242425</v>
      </c>
      <c r="E167" s="172">
        <f t="shared" si="29"/>
        <v>424.36969696969697</v>
      </c>
      <c r="F167" s="173"/>
    </row>
    <row r="168" spans="1:9" ht="24" customHeight="1" x14ac:dyDescent="0.25">
      <c r="A168" s="199" t="s">
        <v>260</v>
      </c>
      <c r="B168" s="175">
        <f t="shared" si="30"/>
        <v>278.93333333333328</v>
      </c>
      <c r="C168" s="175">
        <f t="shared" si="31"/>
        <v>278.93333333333328</v>
      </c>
      <c r="D168" s="175">
        <f t="shared" si="32"/>
        <v>92.97777777777776</v>
      </c>
      <c r="E168" s="172">
        <f t="shared" si="29"/>
        <v>650.84444444444432</v>
      </c>
      <c r="F168" s="173"/>
    </row>
    <row r="169" spans="1:9" ht="24" customHeight="1" x14ac:dyDescent="0.25">
      <c r="A169" s="199" t="s">
        <v>259</v>
      </c>
      <c r="B169" s="175">
        <f t="shared" si="30"/>
        <v>278.93333333333328</v>
      </c>
      <c r="C169" s="175">
        <f t="shared" si="31"/>
        <v>278.93333333333328</v>
      </c>
      <c r="D169" s="175">
        <f t="shared" si="32"/>
        <v>92.97777777777776</v>
      </c>
      <c r="E169" s="172">
        <f t="shared" si="29"/>
        <v>650.84444444444432</v>
      </c>
      <c r="F169" s="173"/>
    </row>
    <row r="171" spans="1:9" ht="24" customHeight="1" x14ac:dyDescent="0.25">
      <c r="A171" s="137" t="s">
        <v>19</v>
      </c>
      <c r="B171" s="138"/>
      <c r="C171" s="138"/>
      <c r="D171" s="138"/>
      <c r="E171" s="138"/>
      <c r="F171" s="138"/>
      <c r="G171" s="138"/>
      <c r="H171" s="138"/>
      <c r="I171" s="138"/>
    </row>
    <row r="172" spans="1:9" ht="51.75" customHeight="1" x14ac:dyDescent="0.25">
      <c r="A172" s="143" t="s">
        <v>228</v>
      </c>
      <c r="B172" s="143"/>
      <c r="C172" s="143"/>
      <c r="D172" s="143"/>
      <c r="E172" s="143"/>
      <c r="F172" s="143"/>
      <c r="G172" s="143"/>
      <c r="H172" s="143"/>
      <c r="I172" s="143"/>
    </row>
    <row r="173" spans="1:9" ht="24" customHeight="1" thickBot="1" x14ac:dyDescent="0.3"/>
    <row r="174" spans="1:9" ht="24" customHeight="1" thickBot="1" x14ac:dyDescent="0.3">
      <c r="A174" s="133" t="s">
        <v>20</v>
      </c>
      <c r="B174" s="135"/>
    </row>
    <row r="175" spans="1:9" ht="24" customHeight="1" thickBot="1" x14ac:dyDescent="0.3">
      <c r="A175" s="4" t="s">
        <v>21</v>
      </c>
      <c r="B175" s="6" t="s">
        <v>2</v>
      </c>
    </row>
    <row r="176" spans="1:9" ht="24" customHeight="1" x14ac:dyDescent="0.25">
      <c r="A176" s="2" t="s">
        <v>22</v>
      </c>
      <c r="B176" s="9">
        <v>0.2</v>
      </c>
    </row>
    <row r="177" spans="1:7" ht="24" customHeight="1" x14ac:dyDescent="0.25">
      <c r="A177" s="3" t="s">
        <v>23</v>
      </c>
      <c r="B177" s="8">
        <v>2.5000000000000001E-2</v>
      </c>
    </row>
    <row r="178" spans="1:7" ht="54" customHeight="1" x14ac:dyDescent="0.25">
      <c r="A178" s="3" t="s">
        <v>24</v>
      </c>
      <c r="B178" s="100">
        <v>0.03</v>
      </c>
      <c r="C178" s="205" t="s">
        <v>264</v>
      </c>
      <c r="D178" s="206"/>
      <c r="E178" s="206"/>
      <c r="F178" s="206"/>
      <c r="G178" s="206"/>
    </row>
    <row r="179" spans="1:7" ht="24" customHeight="1" x14ac:dyDescent="0.25">
      <c r="A179" s="3" t="s">
        <v>25</v>
      </c>
      <c r="B179" s="8">
        <v>1.4999999999999999E-2</v>
      </c>
    </row>
    <row r="180" spans="1:7" ht="24" customHeight="1" x14ac:dyDescent="0.25">
      <c r="A180" s="3" t="s">
        <v>26</v>
      </c>
      <c r="B180" s="8">
        <v>0.01</v>
      </c>
    </row>
    <row r="181" spans="1:7" ht="24" customHeight="1" x14ac:dyDescent="0.25">
      <c r="A181" s="3" t="s">
        <v>27</v>
      </c>
      <c r="B181" s="8">
        <v>6.0000000000000001E-3</v>
      </c>
    </row>
    <row r="182" spans="1:7" ht="24" customHeight="1" x14ac:dyDescent="0.25">
      <c r="A182" s="3" t="s">
        <v>28</v>
      </c>
      <c r="B182" s="8">
        <v>2E-3</v>
      </c>
    </row>
    <row r="183" spans="1:7" ht="24" customHeight="1" thickBot="1" x14ac:dyDescent="0.3">
      <c r="A183" s="1" t="s">
        <v>29</v>
      </c>
      <c r="B183" s="10">
        <v>0.08</v>
      </c>
    </row>
    <row r="184" spans="1:7" ht="24" customHeight="1" thickBot="1" x14ac:dyDescent="0.3">
      <c r="A184" s="105" t="s">
        <v>30</v>
      </c>
      <c r="B184" s="106">
        <f>SUM(B176:B183)</f>
        <v>0.36800000000000005</v>
      </c>
    </row>
    <row r="185" spans="1:7" ht="24" customHeight="1" thickBot="1" x14ac:dyDescent="0.3"/>
    <row r="186" spans="1:7" ht="24" customHeight="1" thickBot="1" x14ac:dyDescent="0.3">
      <c r="A186" s="133" t="s">
        <v>31</v>
      </c>
      <c r="B186" s="134"/>
      <c r="C186" s="134"/>
      <c r="D186" s="135"/>
    </row>
    <row r="187" spans="1:7" ht="24" customHeight="1" x14ac:dyDescent="0.25">
      <c r="A187" s="4" t="s">
        <v>3</v>
      </c>
      <c r="B187" s="5" t="s">
        <v>1</v>
      </c>
      <c r="C187" s="5" t="s">
        <v>2</v>
      </c>
      <c r="D187" s="6" t="s">
        <v>4</v>
      </c>
    </row>
    <row r="188" spans="1:7" ht="24" customHeight="1" x14ac:dyDescent="0.25">
      <c r="A188" s="199" t="s">
        <v>252</v>
      </c>
      <c r="B188" s="175">
        <f>G104+E160</f>
        <v>2450.3702020202018</v>
      </c>
      <c r="C188" s="107">
        <f>SUM($B$176:$B$182)</f>
        <v>0.28800000000000003</v>
      </c>
      <c r="D188" s="172">
        <f>B188*C188</f>
        <v>705.70661818181816</v>
      </c>
    </row>
    <row r="189" spans="1:7" ht="24" customHeight="1" x14ac:dyDescent="0.25">
      <c r="A189" s="200" t="s">
        <v>251</v>
      </c>
      <c r="B189" s="175">
        <f>G105+E161</f>
        <v>2656.6833333333329</v>
      </c>
      <c r="C189" s="107">
        <f t="shared" ref="C189:C197" si="33">SUM($B$176:$B$182)</f>
        <v>0.28800000000000003</v>
      </c>
      <c r="D189" s="172">
        <f t="shared" ref="D189:D197" si="34">B189*C189</f>
        <v>765.12479999999994</v>
      </c>
    </row>
    <row r="190" spans="1:7" ht="24" customHeight="1" x14ac:dyDescent="0.25">
      <c r="A190" s="199" t="s">
        <v>250</v>
      </c>
      <c r="B190" s="175">
        <f>G106+E162</f>
        <v>3232.298055555555</v>
      </c>
      <c r="C190" s="107">
        <f t="shared" si="33"/>
        <v>0.28800000000000003</v>
      </c>
      <c r="D190" s="172">
        <f t="shared" si="34"/>
        <v>930.90183999999999</v>
      </c>
    </row>
    <row r="191" spans="1:7" ht="24" customHeight="1" x14ac:dyDescent="0.25">
      <c r="A191" s="199" t="s">
        <v>253</v>
      </c>
      <c r="B191" s="175">
        <f>G107+E163</f>
        <v>2729.5444444444443</v>
      </c>
      <c r="C191" s="107">
        <f t="shared" si="33"/>
        <v>0.28800000000000003</v>
      </c>
      <c r="D191" s="172">
        <f t="shared" si="34"/>
        <v>786.10880000000009</v>
      </c>
    </row>
    <row r="192" spans="1:7" ht="24" customHeight="1" x14ac:dyDescent="0.25">
      <c r="A192" s="199" t="s">
        <v>254</v>
      </c>
      <c r="B192" s="175">
        <f>G108+E164</f>
        <v>2729.5444444444443</v>
      </c>
      <c r="C192" s="107">
        <f t="shared" si="33"/>
        <v>0.28800000000000003</v>
      </c>
      <c r="D192" s="172">
        <f t="shared" si="34"/>
        <v>786.10880000000009</v>
      </c>
    </row>
    <row r="193" spans="1:4" ht="24" customHeight="1" x14ac:dyDescent="0.25">
      <c r="A193" s="199" t="s">
        <v>255</v>
      </c>
      <c r="B193" s="175">
        <f>G109+E165</f>
        <v>2983.0021428571426</v>
      </c>
      <c r="C193" s="107">
        <f t="shared" si="33"/>
        <v>0.28800000000000003</v>
      </c>
      <c r="D193" s="172">
        <f t="shared" si="34"/>
        <v>859.10461714285714</v>
      </c>
    </row>
    <row r="194" spans="1:4" ht="24" customHeight="1" x14ac:dyDescent="0.25">
      <c r="A194" s="199" t="s">
        <v>256</v>
      </c>
      <c r="B194" s="175">
        <f>G110+E166</f>
        <v>2729.5444444444443</v>
      </c>
      <c r="C194" s="107">
        <f t="shared" si="33"/>
        <v>0.28800000000000003</v>
      </c>
      <c r="D194" s="172">
        <f t="shared" si="34"/>
        <v>786.10880000000009</v>
      </c>
    </row>
    <row r="195" spans="1:4" ht="24" customHeight="1" x14ac:dyDescent="0.25">
      <c r="A195" s="199" t="s">
        <v>258</v>
      </c>
      <c r="B195" s="175">
        <f>G111+E167</f>
        <v>2606.8424242424244</v>
      </c>
      <c r="C195" s="107">
        <f t="shared" si="33"/>
        <v>0.28800000000000003</v>
      </c>
      <c r="D195" s="172">
        <f t="shared" si="34"/>
        <v>750.77061818181835</v>
      </c>
    </row>
    <row r="196" spans="1:4" ht="24" customHeight="1" x14ac:dyDescent="0.25">
      <c r="A196" s="199" t="s">
        <v>260</v>
      </c>
      <c r="B196" s="175">
        <f>G112+E168</f>
        <v>3998.0444444444443</v>
      </c>
      <c r="C196" s="107">
        <f t="shared" si="33"/>
        <v>0.28800000000000003</v>
      </c>
      <c r="D196" s="172">
        <f t="shared" si="34"/>
        <v>1151.4368000000002</v>
      </c>
    </row>
    <row r="197" spans="1:4" ht="24" customHeight="1" x14ac:dyDescent="0.25">
      <c r="A197" s="199" t="s">
        <v>259</v>
      </c>
      <c r="B197" s="175">
        <f>G113+E169</f>
        <v>3998.0444444444443</v>
      </c>
      <c r="C197" s="107">
        <f t="shared" si="33"/>
        <v>0.28800000000000003</v>
      </c>
      <c r="D197" s="172">
        <f t="shared" si="34"/>
        <v>1151.4368000000002</v>
      </c>
    </row>
    <row r="198" spans="1:4" ht="24" customHeight="1" thickBot="1" x14ac:dyDescent="0.3"/>
    <row r="199" spans="1:4" ht="24" customHeight="1" x14ac:dyDescent="0.25">
      <c r="A199" s="148" t="s">
        <v>32</v>
      </c>
      <c r="B199" s="149"/>
      <c r="C199" s="149"/>
      <c r="D199" s="150"/>
    </row>
    <row r="200" spans="1:4" ht="24" customHeight="1" x14ac:dyDescent="0.25">
      <c r="A200" s="181" t="s">
        <v>3</v>
      </c>
      <c r="B200" s="181" t="s">
        <v>1</v>
      </c>
      <c r="C200" s="181" t="s">
        <v>2</v>
      </c>
      <c r="D200" s="181" t="s">
        <v>4</v>
      </c>
    </row>
    <row r="201" spans="1:4" ht="24" customHeight="1" x14ac:dyDescent="0.25">
      <c r="A201" s="199" t="s">
        <v>252</v>
      </c>
      <c r="B201" s="175">
        <f>G104+E160</f>
        <v>2450.3702020202018</v>
      </c>
      <c r="C201" s="54">
        <f>$B$183</f>
        <v>0.08</v>
      </c>
      <c r="D201" s="172">
        <f>B201*C201</f>
        <v>196.02961616161613</v>
      </c>
    </row>
    <row r="202" spans="1:4" ht="24" customHeight="1" x14ac:dyDescent="0.25">
      <c r="A202" s="200" t="s">
        <v>251</v>
      </c>
      <c r="B202" s="175">
        <f>G105+E161</f>
        <v>2656.6833333333329</v>
      </c>
      <c r="C202" s="54">
        <f t="shared" ref="C202:C210" si="35">$B$183</f>
        <v>0.08</v>
      </c>
      <c r="D202" s="172">
        <f t="shared" ref="D202:D210" si="36">B202*C202</f>
        <v>212.53466666666665</v>
      </c>
    </row>
    <row r="203" spans="1:4" ht="24" customHeight="1" x14ac:dyDescent="0.25">
      <c r="A203" s="199" t="s">
        <v>250</v>
      </c>
      <c r="B203" s="175">
        <f>G106+E162</f>
        <v>3232.298055555555</v>
      </c>
      <c r="C203" s="54">
        <f t="shared" si="35"/>
        <v>0.08</v>
      </c>
      <c r="D203" s="172">
        <f t="shared" si="36"/>
        <v>258.58384444444442</v>
      </c>
    </row>
    <row r="204" spans="1:4" ht="24" customHeight="1" x14ac:dyDescent="0.25">
      <c r="A204" s="199" t="s">
        <v>253</v>
      </c>
      <c r="B204" s="175">
        <f>G107+E163</f>
        <v>2729.5444444444443</v>
      </c>
      <c r="C204" s="54">
        <f t="shared" si="35"/>
        <v>0.08</v>
      </c>
      <c r="D204" s="172">
        <f t="shared" si="36"/>
        <v>218.36355555555554</v>
      </c>
    </row>
    <row r="205" spans="1:4" ht="24" customHeight="1" x14ac:dyDescent="0.25">
      <c r="A205" s="199" t="s">
        <v>254</v>
      </c>
      <c r="B205" s="175">
        <f>G108+E164</f>
        <v>2729.5444444444443</v>
      </c>
      <c r="C205" s="54">
        <f t="shared" si="35"/>
        <v>0.08</v>
      </c>
      <c r="D205" s="172">
        <f t="shared" si="36"/>
        <v>218.36355555555554</v>
      </c>
    </row>
    <row r="206" spans="1:4" ht="24" customHeight="1" x14ac:dyDescent="0.25">
      <c r="A206" s="199" t="s">
        <v>255</v>
      </c>
      <c r="B206" s="175">
        <f>G109+E165</f>
        <v>2983.0021428571426</v>
      </c>
      <c r="C206" s="54">
        <f t="shared" si="35"/>
        <v>0.08</v>
      </c>
      <c r="D206" s="172">
        <f t="shared" si="36"/>
        <v>238.64017142857142</v>
      </c>
    </row>
    <row r="207" spans="1:4" ht="24" customHeight="1" x14ac:dyDescent="0.25">
      <c r="A207" s="199" t="s">
        <v>256</v>
      </c>
      <c r="B207" s="175">
        <f>G110+E166</f>
        <v>2729.5444444444443</v>
      </c>
      <c r="C207" s="54">
        <f t="shared" si="35"/>
        <v>0.08</v>
      </c>
      <c r="D207" s="172">
        <f t="shared" si="36"/>
        <v>218.36355555555554</v>
      </c>
    </row>
    <row r="208" spans="1:4" ht="24" customHeight="1" x14ac:dyDescent="0.25">
      <c r="A208" s="199" t="s">
        <v>258</v>
      </c>
      <c r="B208" s="175">
        <f>G111+E167</f>
        <v>2606.8424242424244</v>
      </c>
      <c r="C208" s="54">
        <f t="shared" si="35"/>
        <v>0.08</v>
      </c>
      <c r="D208" s="172">
        <f t="shared" si="36"/>
        <v>208.54739393939394</v>
      </c>
    </row>
    <row r="209" spans="1:4" ht="24" customHeight="1" x14ac:dyDescent="0.25">
      <c r="A209" s="199" t="s">
        <v>260</v>
      </c>
      <c r="B209" s="175">
        <f>G112+E168</f>
        <v>3998.0444444444443</v>
      </c>
      <c r="C209" s="54">
        <f t="shared" si="35"/>
        <v>0.08</v>
      </c>
      <c r="D209" s="172">
        <f t="shared" si="36"/>
        <v>319.84355555555555</v>
      </c>
    </row>
    <row r="210" spans="1:4" ht="24" customHeight="1" x14ac:dyDescent="0.25">
      <c r="A210" s="199" t="s">
        <v>259</v>
      </c>
      <c r="B210" s="175">
        <f>G113+E169</f>
        <v>3998.0444444444443</v>
      </c>
      <c r="C210" s="54">
        <f t="shared" si="35"/>
        <v>0.08</v>
      </c>
      <c r="D210" s="172">
        <f t="shared" si="36"/>
        <v>319.84355555555555</v>
      </c>
    </row>
    <row r="211" spans="1:4" ht="24" customHeight="1" thickBot="1" x14ac:dyDescent="0.3"/>
    <row r="212" spans="1:4" ht="24" customHeight="1" thickBot="1" x14ac:dyDescent="0.3">
      <c r="A212" s="133" t="s">
        <v>19</v>
      </c>
      <c r="B212" s="134"/>
      <c r="C212" s="134"/>
      <c r="D212" s="135"/>
    </row>
    <row r="213" spans="1:4" ht="24" customHeight="1" x14ac:dyDescent="0.25">
      <c r="A213" s="4" t="s">
        <v>3</v>
      </c>
      <c r="B213" s="5" t="s">
        <v>33</v>
      </c>
      <c r="C213" s="5" t="s">
        <v>29</v>
      </c>
      <c r="D213" s="6" t="s">
        <v>14</v>
      </c>
    </row>
    <row r="214" spans="1:4" ht="24" customHeight="1" x14ac:dyDescent="0.25">
      <c r="A214" s="199" t="s">
        <v>252</v>
      </c>
      <c r="B214" s="175">
        <f>D188</f>
        <v>705.70661818181816</v>
      </c>
      <c r="C214" s="175">
        <f>D201</f>
        <v>196.02961616161613</v>
      </c>
      <c r="D214" s="172">
        <f>B214+C214</f>
        <v>901.73623434343426</v>
      </c>
    </row>
    <row r="215" spans="1:4" ht="24" customHeight="1" x14ac:dyDescent="0.25">
      <c r="A215" s="200" t="s">
        <v>251</v>
      </c>
      <c r="B215" s="175">
        <f t="shared" ref="B215:B223" si="37">D189</f>
        <v>765.12479999999994</v>
      </c>
      <c r="C215" s="175">
        <f t="shared" ref="C215:C223" si="38">D202</f>
        <v>212.53466666666665</v>
      </c>
      <c r="D215" s="172">
        <f t="shared" ref="D215:D223" si="39">B215+C215</f>
        <v>977.65946666666662</v>
      </c>
    </row>
    <row r="216" spans="1:4" ht="24" customHeight="1" x14ac:dyDescent="0.25">
      <c r="A216" s="199" t="s">
        <v>250</v>
      </c>
      <c r="B216" s="175">
        <f t="shared" si="37"/>
        <v>930.90183999999999</v>
      </c>
      <c r="C216" s="175">
        <f t="shared" si="38"/>
        <v>258.58384444444442</v>
      </c>
      <c r="D216" s="172">
        <f t="shared" si="39"/>
        <v>1189.4856844444444</v>
      </c>
    </row>
    <row r="217" spans="1:4" ht="24" customHeight="1" x14ac:dyDescent="0.25">
      <c r="A217" s="199" t="s">
        <v>253</v>
      </c>
      <c r="B217" s="175">
        <f t="shared" si="37"/>
        <v>786.10880000000009</v>
      </c>
      <c r="C217" s="175">
        <f t="shared" si="38"/>
        <v>218.36355555555554</v>
      </c>
      <c r="D217" s="172">
        <f t="shared" si="39"/>
        <v>1004.4723555555556</v>
      </c>
    </row>
    <row r="218" spans="1:4" ht="24" customHeight="1" x14ac:dyDescent="0.25">
      <c r="A218" s="199" t="s">
        <v>254</v>
      </c>
      <c r="B218" s="175">
        <f t="shared" si="37"/>
        <v>786.10880000000009</v>
      </c>
      <c r="C218" s="175">
        <f t="shared" si="38"/>
        <v>218.36355555555554</v>
      </c>
      <c r="D218" s="172">
        <f t="shared" si="39"/>
        <v>1004.4723555555556</v>
      </c>
    </row>
    <row r="219" spans="1:4" ht="24" customHeight="1" x14ac:dyDescent="0.25">
      <c r="A219" s="199" t="s">
        <v>255</v>
      </c>
      <c r="B219" s="175">
        <f t="shared" si="37"/>
        <v>859.10461714285714</v>
      </c>
      <c r="C219" s="175">
        <f t="shared" si="38"/>
        <v>238.64017142857142</v>
      </c>
      <c r="D219" s="172">
        <f t="shared" si="39"/>
        <v>1097.7447885714287</v>
      </c>
    </row>
    <row r="220" spans="1:4" ht="24" customHeight="1" x14ac:dyDescent="0.25">
      <c r="A220" s="199" t="s">
        <v>256</v>
      </c>
      <c r="B220" s="175">
        <f t="shared" si="37"/>
        <v>786.10880000000009</v>
      </c>
      <c r="C220" s="175">
        <f t="shared" si="38"/>
        <v>218.36355555555554</v>
      </c>
      <c r="D220" s="172">
        <f t="shared" si="39"/>
        <v>1004.4723555555556</v>
      </c>
    </row>
    <row r="221" spans="1:4" ht="24" customHeight="1" x14ac:dyDescent="0.25">
      <c r="A221" s="199" t="s">
        <v>258</v>
      </c>
      <c r="B221" s="175">
        <f t="shared" si="37"/>
        <v>750.77061818181835</v>
      </c>
      <c r="C221" s="175">
        <f t="shared" si="38"/>
        <v>208.54739393939394</v>
      </c>
      <c r="D221" s="172">
        <f t="shared" si="39"/>
        <v>959.31801212121229</v>
      </c>
    </row>
    <row r="222" spans="1:4" ht="24" customHeight="1" x14ac:dyDescent="0.25">
      <c r="A222" s="199" t="s">
        <v>260</v>
      </c>
      <c r="B222" s="175">
        <f t="shared" si="37"/>
        <v>1151.4368000000002</v>
      </c>
      <c r="C222" s="175">
        <f t="shared" si="38"/>
        <v>319.84355555555555</v>
      </c>
      <c r="D222" s="172">
        <f t="shared" si="39"/>
        <v>1471.2803555555556</v>
      </c>
    </row>
    <row r="223" spans="1:4" ht="24" customHeight="1" x14ac:dyDescent="0.25">
      <c r="A223" s="199" t="s">
        <v>259</v>
      </c>
      <c r="B223" s="175">
        <f t="shared" si="37"/>
        <v>1151.4368000000002</v>
      </c>
      <c r="C223" s="175">
        <f t="shared" si="38"/>
        <v>319.84355555555555</v>
      </c>
      <c r="D223" s="172">
        <f t="shared" si="39"/>
        <v>1471.2803555555556</v>
      </c>
    </row>
    <row r="225" spans="1:9" ht="24" customHeight="1" x14ac:dyDescent="0.25">
      <c r="A225" s="137" t="s">
        <v>34</v>
      </c>
      <c r="B225" s="138"/>
      <c r="C225" s="138"/>
      <c r="D225" s="138"/>
      <c r="E225" s="138"/>
      <c r="F225" s="138"/>
      <c r="G225" s="138"/>
      <c r="H225" s="138"/>
      <c r="I225" s="138"/>
    </row>
    <row r="226" spans="1:9" ht="72.75" customHeight="1" x14ac:dyDescent="0.25">
      <c r="A226" s="143" t="s">
        <v>229</v>
      </c>
      <c r="B226" s="143"/>
      <c r="C226" s="143"/>
      <c r="D226" s="143"/>
      <c r="E226" s="143"/>
      <c r="F226" s="143"/>
      <c r="G226" s="143"/>
      <c r="H226" s="143"/>
      <c r="I226" s="143"/>
    </row>
    <row r="227" spans="1:9" ht="24" customHeight="1" thickBot="1" x14ac:dyDescent="0.3">
      <c r="A227" s="151" t="s">
        <v>35</v>
      </c>
      <c r="B227" s="151"/>
      <c r="C227" s="151"/>
      <c r="D227" s="151"/>
      <c r="E227" s="151"/>
      <c r="F227" s="151"/>
      <c r="G227" s="151"/>
      <c r="H227" s="62"/>
    </row>
    <row r="228" spans="1:9" ht="24" customHeight="1" thickBot="1" x14ac:dyDescent="0.3">
      <c r="A228" s="140" t="s">
        <v>40</v>
      </c>
      <c r="B228" s="141"/>
      <c r="C228" s="141"/>
      <c r="D228" s="141"/>
      <c r="E228" s="142"/>
      <c r="F228" s="122"/>
    </row>
    <row r="229" spans="1:9" ht="31.5" x14ac:dyDescent="0.25">
      <c r="A229" s="4" t="s">
        <v>3</v>
      </c>
      <c r="B229" s="5" t="s">
        <v>36</v>
      </c>
      <c r="C229" s="5" t="s">
        <v>37</v>
      </c>
      <c r="D229" s="58" t="s">
        <v>39</v>
      </c>
      <c r="E229" s="6" t="s">
        <v>38</v>
      </c>
      <c r="F229" s="122"/>
    </row>
    <row r="230" spans="1:9" ht="24" customHeight="1" x14ac:dyDescent="0.25">
      <c r="A230" s="199" t="s">
        <v>252</v>
      </c>
      <c r="B230" s="175">
        <v>5</v>
      </c>
      <c r="C230" s="11">
        <v>2</v>
      </c>
      <c r="D230" s="11">
        <v>22</v>
      </c>
      <c r="E230" s="165">
        <f t="shared" ref="E230:E239" si="40">B230*C230*D230</f>
        <v>220</v>
      </c>
      <c r="F230" s="190"/>
    </row>
    <row r="231" spans="1:9" ht="24" customHeight="1" x14ac:dyDescent="0.25">
      <c r="A231" s="200" t="s">
        <v>251</v>
      </c>
      <c r="B231" s="175">
        <v>5</v>
      </c>
      <c r="C231" s="11">
        <v>2</v>
      </c>
      <c r="D231" s="11">
        <v>15</v>
      </c>
      <c r="E231" s="165">
        <f t="shared" si="40"/>
        <v>150</v>
      </c>
      <c r="F231" s="190"/>
    </row>
    <row r="232" spans="1:9" ht="24" customHeight="1" x14ac:dyDescent="0.25">
      <c r="A232" s="199" t="s">
        <v>250</v>
      </c>
      <c r="B232" s="175">
        <v>5</v>
      </c>
      <c r="C232" s="11">
        <v>2</v>
      </c>
      <c r="D232" s="11">
        <v>15</v>
      </c>
      <c r="E232" s="165">
        <f t="shared" si="40"/>
        <v>150</v>
      </c>
      <c r="F232" s="190"/>
    </row>
    <row r="233" spans="1:9" ht="24" customHeight="1" x14ac:dyDescent="0.25">
      <c r="A233" s="199" t="s">
        <v>253</v>
      </c>
      <c r="B233" s="175">
        <v>5</v>
      </c>
      <c r="C233" s="11">
        <v>2</v>
      </c>
      <c r="D233" s="11">
        <v>15</v>
      </c>
      <c r="E233" s="165">
        <f t="shared" si="40"/>
        <v>150</v>
      </c>
      <c r="F233" s="190"/>
    </row>
    <row r="234" spans="1:9" ht="24" customHeight="1" x14ac:dyDescent="0.25">
      <c r="A234" s="199" t="s">
        <v>254</v>
      </c>
      <c r="B234" s="175">
        <v>5</v>
      </c>
      <c r="C234" s="11">
        <v>2</v>
      </c>
      <c r="D234" s="11">
        <v>15</v>
      </c>
      <c r="E234" s="165">
        <f t="shared" si="40"/>
        <v>150</v>
      </c>
      <c r="F234" s="190"/>
    </row>
    <row r="235" spans="1:9" ht="24" customHeight="1" x14ac:dyDescent="0.25">
      <c r="A235" s="199" t="s">
        <v>255</v>
      </c>
      <c r="B235" s="175">
        <v>5</v>
      </c>
      <c r="C235" s="11">
        <v>2</v>
      </c>
      <c r="D235" s="11">
        <v>15</v>
      </c>
      <c r="E235" s="165">
        <f t="shared" si="40"/>
        <v>150</v>
      </c>
      <c r="F235" s="190"/>
    </row>
    <row r="236" spans="1:9" ht="24" customHeight="1" x14ac:dyDescent="0.25">
      <c r="A236" s="199" t="s">
        <v>256</v>
      </c>
      <c r="B236" s="175">
        <v>5</v>
      </c>
      <c r="C236" s="11">
        <v>2</v>
      </c>
      <c r="D236" s="11">
        <v>22</v>
      </c>
      <c r="E236" s="165">
        <f t="shared" si="40"/>
        <v>220</v>
      </c>
      <c r="F236" s="190"/>
    </row>
    <row r="237" spans="1:9" ht="24" customHeight="1" x14ac:dyDescent="0.25">
      <c r="A237" s="199" t="s">
        <v>258</v>
      </c>
      <c r="B237" s="175">
        <v>5</v>
      </c>
      <c r="C237" s="11">
        <v>2</v>
      </c>
      <c r="D237" s="11">
        <v>22</v>
      </c>
      <c r="E237" s="165">
        <f t="shared" si="40"/>
        <v>220</v>
      </c>
      <c r="F237" s="190"/>
    </row>
    <row r="238" spans="1:9" ht="24" customHeight="1" x14ac:dyDescent="0.25">
      <c r="A238" s="199" t="s">
        <v>260</v>
      </c>
      <c r="B238" s="175">
        <v>5</v>
      </c>
      <c r="C238" s="11">
        <v>2</v>
      </c>
      <c r="D238" s="11">
        <v>22</v>
      </c>
      <c r="E238" s="165">
        <f t="shared" si="40"/>
        <v>220</v>
      </c>
      <c r="F238" s="190"/>
    </row>
    <row r="239" spans="1:9" ht="24" customHeight="1" x14ac:dyDescent="0.25">
      <c r="A239" s="199" t="s">
        <v>259</v>
      </c>
      <c r="B239" s="175">
        <v>5</v>
      </c>
      <c r="C239" s="11">
        <v>2</v>
      </c>
      <c r="D239" s="11">
        <v>22</v>
      </c>
      <c r="E239" s="165">
        <f t="shared" si="40"/>
        <v>220</v>
      </c>
      <c r="F239" s="190"/>
    </row>
    <row r="240" spans="1:9" ht="24" customHeight="1" thickBot="1" x14ac:dyDescent="0.3"/>
    <row r="241" spans="1:6" ht="24" customHeight="1" thickBot="1" x14ac:dyDescent="0.3">
      <c r="A241" s="140" t="s">
        <v>44</v>
      </c>
      <c r="B241" s="141"/>
      <c r="C241" s="141"/>
      <c r="D241" s="141"/>
      <c r="E241" s="142"/>
      <c r="F241" s="122"/>
    </row>
    <row r="242" spans="1:6" ht="24" customHeight="1" x14ac:dyDescent="0.25">
      <c r="A242" s="4" t="s">
        <v>3</v>
      </c>
      <c r="B242" s="5" t="s">
        <v>1</v>
      </c>
      <c r="C242" s="5" t="s">
        <v>41</v>
      </c>
      <c r="D242" s="5" t="s">
        <v>2</v>
      </c>
      <c r="E242" s="6" t="s">
        <v>42</v>
      </c>
      <c r="F242" s="122"/>
    </row>
    <row r="243" spans="1:6" ht="24" customHeight="1" x14ac:dyDescent="0.25">
      <c r="A243" s="199" t="s">
        <v>252</v>
      </c>
      <c r="B243" s="175">
        <f>B12</f>
        <v>1727.2727272727273</v>
      </c>
      <c r="C243" s="52">
        <v>1</v>
      </c>
      <c r="D243" s="52">
        <v>0.06</v>
      </c>
      <c r="E243" s="172">
        <f t="shared" ref="E243:E252" si="41">B243*C243*D243</f>
        <v>103.63636363636363</v>
      </c>
      <c r="F243" s="173"/>
    </row>
    <row r="244" spans="1:6" ht="24" customHeight="1" x14ac:dyDescent="0.25">
      <c r="A244" s="200" t="s">
        <v>251</v>
      </c>
      <c r="B244" s="175">
        <f t="shared" ref="B244:B252" si="42">B13</f>
        <v>1900</v>
      </c>
      <c r="C244" s="52">
        <v>0.5</v>
      </c>
      <c r="D244" s="52">
        <v>0.06</v>
      </c>
      <c r="E244" s="172">
        <f t="shared" si="41"/>
        <v>57</v>
      </c>
      <c r="F244" s="173"/>
    </row>
    <row r="245" spans="1:6" ht="24" customHeight="1" x14ac:dyDescent="0.25">
      <c r="A245" s="199" t="s">
        <v>250</v>
      </c>
      <c r="B245" s="175">
        <f t="shared" si="42"/>
        <v>1900</v>
      </c>
      <c r="C245" s="52">
        <v>0.5</v>
      </c>
      <c r="D245" s="52">
        <v>0.06</v>
      </c>
      <c r="E245" s="172">
        <f t="shared" si="41"/>
        <v>57</v>
      </c>
      <c r="F245" s="173"/>
    </row>
    <row r="246" spans="1:6" ht="24" customHeight="1" x14ac:dyDescent="0.25">
      <c r="A246" s="199" t="s">
        <v>253</v>
      </c>
      <c r="B246" s="175">
        <f t="shared" si="42"/>
        <v>1961</v>
      </c>
      <c r="C246" s="52">
        <v>0.5</v>
      </c>
      <c r="D246" s="52">
        <v>0.06</v>
      </c>
      <c r="E246" s="172">
        <f t="shared" si="41"/>
        <v>58.83</v>
      </c>
      <c r="F246" s="173"/>
    </row>
    <row r="247" spans="1:6" ht="24" customHeight="1" x14ac:dyDescent="0.25">
      <c r="A247" s="199" t="s">
        <v>254</v>
      </c>
      <c r="B247" s="175">
        <f t="shared" si="42"/>
        <v>1961</v>
      </c>
      <c r="C247" s="52">
        <v>0.5</v>
      </c>
      <c r="D247" s="52">
        <v>0.06</v>
      </c>
      <c r="E247" s="172">
        <f t="shared" si="41"/>
        <v>58.83</v>
      </c>
      <c r="F247" s="173"/>
    </row>
    <row r="248" spans="1:6" ht="24" customHeight="1" x14ac:dyDescent="0.25">
      <c r="A248" s="199" t="s">
        <v>255</v>
      </c>
      <c r="B248" s="175">
        <f t="shared" si="42"/>
        <v>1961</v>
      </c>
      <c r="C248" s="52">
        <v>0.5</v>
      </c>
      <c r="D248" s="52">
        <v>0.06</v>
      </c>
      <c r="E248" s="172">
        <f t="shared" si="41"/>
        <v>58.83</v>
      </c>
      <c r="F248" s="173"/>
    </row>
    <row r="249" spans="1:6" ht="24" customHeight="1" x14ac:dyDescent="0.25">
      <c r="A249" s="199" t="s">
        <v>256</v>
      </c>
      <c r="B249" s="175">
        <f t="shared" si="42"/>
        <v>1961</v>
      </c>
      <c r="C249" s="52">
        <v>1</v>
      </c>
      <c r="D249" s="52">
        <v>0.06</v>
      </c>
      <c r="E249" s="172">
        <f t="shared" si="41"/>
        <v>117.66</v>
      </c>
      <c r="F249" s="173"/>
    </row>
    <row r="250" spans="1:6" ht="24" customHeight="1" x14ac:dyDescent="0.25">
      <c r="A250" s="199" t="s">
        <v>258</v>
      </c>
      <c r="B250" s="175">
        <f t="shared" si="42"/>
        <v>1727.2727272727273</v>
      </c>
      <c r="C250" s="52">
        <v>1</v>
      </c>
      <c r="D250" s="52">
        <v>0.06</v>
      </c>
      <c r="E250" s="172">
        <f t="shared" si="41"/>
        <v>103.63636363636363</v>
      </c>
      <c r="F250" s="173"/>
    </row>
    <row r="251" spans="1:6" ht="24" customHeight="1" x14ac:dyDescent="0.25">
      <c r="A251" s="199" t="s">
        <v>260</v>
      </c>
      <c r="B251" s="175">
        <f t="shared" si="42"/>
        <v>3023</v>
      </c>
      <c r="C251" s="52">
        <v>1</v>
      </c>
      <c r="D251" s="52">
        <v>0.06</v>
      </c>
      <c r="E251" s="172">
        <f t="shared" si="41"/>
        <v>181.38</v>
      </c>
      <c r="F251" s="173"/>
    </row>
    <row r="252" spans="1:6" ht="24" customHeight="1" x14ac:dyDescent="0.25">
      <c r="A252" s="199" t="s">
        <v>259</v>
      </c>
      <c r="B252" s="175">
        <f t="shared" si="42"/>
        <v>3023</v>
      </c>
      <c r="C252" s="52">
        <v>1</v>
      </c>
      <c r="D252" s="52">
        <v>0.06</v>
      </c>
      <c r="E252" s="172">
        <f t="shared" si="41"/>
        <v>181.38</v>
      </c>
      <c r="F252" s="173"/>
    </row>
    <row r="253" spans="1:6" ht="24" customHeight="1" thickBot="1" x14ac:dyDescent="0.3"/>
    <row r="254" spans="1:6" ht="24" customHeight="1" x14ac:dyDescent="0.25">
      <c r="A254" s="210" t="s">
        <v>46</v>
      </c>
      <c r="B254" s="211"/>
      <c r="C254" s="211"/>
      <c r="D254" s="212"/>
    </row>
    <row r="255" spans="1:6" ht="24" customHeight="1" x14ac:dyDescent="0.25">
      <c r="A255" s="181" t="s">
        <v>3</v>
      </c>
      <c r="B255" s="181" t="s">
        <v>38</v>
      </c>
      <c r="C255" s="181" t="s">
        <v>43</v>
      </c>
      <c r="D255" s="181" t="s">
        <v>45</v>
      </c>
    </row>
    <row r="256" spans="1:6" ht="24" customHeight="1" x14ac:dyDescent="0.25">
      <c r="A256" s="199" t="s">
        <v>252</v>
      </c>
      <c r="B256" s="175">
        <f>E230</f>
        <v>220</v>
      </c>
      <c r="C256" s="175">
        <f>E243</f>
        <v>103.63636363636363</v>
      </c>
      <c r="D256" s="172">
        <f>B256-C256</f>
        <v>116.36363636363637</v>
      </c>
    </row>
    <row r="257" spans="1:9" ht="24" customHeight="1" x14ac:dyDescent="0.25">
      <c r="A257" s="200" t="s">
        <v>251</v>
      </c>
      <c r="B257" s="175">
        <f t="shared" ref="B257:B265" si="43">E231</f>
        <v>150</v>
      </c>
      <c r="C257" s="175">
        <f t="shared" ref="C257:C265" si="44">E244</f>
        <v>57</v>
      </c>
      <c r="D257" s="172">
        <f t="shared" ref="D257:D265" si="45">B257-C257</f>
        <v>93</v>
      </c>
    </row>
    <row r="258" spans="1:9" ht="24" customHeight="1" x14ac:dyDescent="0.25">
      <c r="A258" s="199" t="s">
        <v>250</v>
      </c>
      <c r="B258" s="175">
        <f t="shared" si="43"/>
        <v>150</v>
      </c>
      <c r="C258" s="175">
        <f t="shared" si="44"/>
        <v>57</v>
      </c>
      <c r="D258" s="172">
        <f t="shared" si="45"/>
        <v>93</v>
      </c>
    </row>
    <row r="259" spans="1:9" ht="24" customHeight="1" x14ac:dyDescent="0.25">
      <c r="A259" s="199" t="s">
        <v>253</v>
      </c>
      <c r="B259" s="175">
        <f t="shared" si="43"/>
        <v>150</v>
      </c>
      <c r="C259" s="175">
        <f t="shared" si="44"/>
        <v>58.83</v>
      </c>
      <c r="D259" s="172">
        <f t="shared" si="45"/>
        <v>91.17</v>
      </c>
    </row>
    <row r="260" spans="1:9" ht="24" customHeight="1" x14ac:dyDescent="0.25">
      <c r="A260" s="199" t="s">
        <v>254</v>
      </c>
      <c r="B260" s="175">
        <f t="shared" si="43"/>
        <v>150</v>
      </c>
      <c r="C260" s="175">
        <f t="shared" si="44"/>
        <v>58.83</v>
      </c>
      <c r="D260" s="172">
        <f t="shared" si="45"/>
        <v>91.17</v>
      </c>
    </row>
    <row r="261" spans="1:9" ht="24" customHeight="1" x14ac:dyDescent="0.25">
      <c r="A261" s="199" t="s">
        <v>255</v>
      </c>
      <c r="B261" s="175">
        <f t="shared" si="43"/>
        <v>150</v>
      </c>
      <c r="C261" s="175">
        <f t="shared" si="44"/>
        <v>58.83</v>
      </c>
      <c r="D261" s="172">
        <f t="shared" si="45"/>
        <v>91.17</v>
      </c>
    </row>
    <row r="262" spans="1:9" ht="24" customHeight="1" x14ac:dyDescent="0.25">
      <c r="A262" s="199" t="s">
        <v>256</v>
      </c>
      <c r="B262" s="175">
        <f t="shared" si="43"/>
        <v>220</v>
      </c>
      <c r="C262" s="175">
        <f t="shared" si="44"/>
        <v>117.66</v>
      </c>
      <c r="D262" s="172">
        <f t="shared" si="45"/>
        <v>102.34</v>
      </c>
    </row>
    <row r="263" spans="1:9" ht="24" customHeight="1" x14ac:dyDescent="0.25">
      <c r="A263" s="199" t="s">
        <v>258</v>
      </c>
      <c r="B263" s="175">
        <f t="shared" si="43"/>
        <v>220</v>
      </c>
      <c r="C263" s="175">
        <f t="shared" si="44"/>
        <v>103.63636363636363</v>
      </c>
      <c r="D263" s="172">
        <f t="shared" si="45"/>
        <v>116.36363636363637</v>
      </c>
    </row>
    <row r="264" spans="1:9" ht="24" customHeight="1" x14ac:dyDescent="0.25">
      <c r="A264" s="199" t="s">
        <v>260</v>
      </c>
      <c r="B264" s="175">
        <f t="shared" si="43"/>
        <v>220</v>
      </c>
      <c r="C264" s="175">
        <f t="shared" si="44"/>
        <v>181.38</v>
      </c>
      <c r="D264" s="172">
        <f t="shared" si="45"/>
        <v>38.620000000000005</v>
      </c>
    </row>
    <row r="265" spans="1:9" ht="24" customHeight="1" x14ac:dyDescent="0.25">
      <c r="A265" s="199" t="s">
        <v>259</v>
      </c>
      <c r="B265" s="175">
        <f t="shared" si="43"/>
        <v>220</v>
      </c>
      <c r="C265" s="175">
        <f t="shared" si="44"/>
        <v>181.38</v>
      </c>
      <c r="D265" s="172">
        <f t="shared" si="45"/>
        <v>38.620000000000005</v>
      </c>
      <c r="I265" s="62"/>
    </row>
    <row r="266" spans="1:9" ht="24" customHeight="1" x14ac:dyDescent="0.25">
      <c r="A266" s="151" t="s">
        <v>47</v>
      </c>
      <c r="B266" s="151"/>
      <c r="C266" s="151"/>
      <c r="D266" s="151"/>
      <c r="E266" s="151"/>
      <c r="F266" s="151"/>
      <c r="G266" s="151"/>
      <c r="H266" s="62"/>
    </row>
    <row r="267" spans="1:9" ht="31.5" customHeight="1" thickBot="1" x14ac:dyDescent="0.3"/>
    <row r="268" spans="1:9" ht="24" customHeight="1" thickBot="1" x14ac:dyDescent="0.3">
      <c r="A268" s="140" t="s">
        <v>47</v>
      </c>
      <c r="B268" s="141"/>
      <c r="C268" s="141"/>
      <c r="D268" s="214" t="s">
        <v>265</v>
      </c>
      <c r="E268" s="215">
        <v>900</v>
      </c>
      <c r="F268" s="222"/>
    </row>
    <row r="269" spans="1:9" ht="27" customHeight="1" x14ac:dyDescent="0.25">
      <c r="A269" s="42" t="s">
        <v>3</v>
      </c>
      <c r="B269" s="43" t="s">
        <v>48</v>
      </c>
      <c r="C269" s="44" t="s">
        <v>4</v>
      </c>
    </row>
    <row r="270" spans="1:9" ht="24" customHeight="1" x14ac:dyDescent="0.25">
      <c r="A270" s="199" t="s">
        <v>252</v>
      </c>
      <c r="B270" s="175">
        <f>$E$268</f>
        <v>900</v>
      </c>
      <c r="C270" s="172">
        <f>B270</f>
        <v>900</v>
      </c>
    </row>
    <row r="271" spans="1:9" ht="24" customHeight="1" x14ac:dyDescent="0.25">
      <c r="A271" s="200" t="s">
        <v>251</v>
      </c>
      <c r="B271" s="175">
        <f t="shared" ref="B271:B279" si="46">$E$268</f>
        <v>900</v>
      </c>
      <c r="C271" s="172">
        <f t="shared" ref="C271:C279" si="47">B271</f>
        <v>900</v>
      </c>
    </row>
    <row r="272" spans="1:9" ht="24" customHeight="1" x14ac:dyDescent="0.25">
      <c r="A272" s="199" t="s">
        <v>250</v>
      </c>
      <c r="B272" s="175">
        <f t="shared" si="46"/>
        <v>900</v>
      </c>
      <c r="C272" s="172">
        <f t="shared" si="47"/>
        <v>900</v>
      </c>
    </row>
    <row r="273" spans="1:4" ht="24" customHeight="1" x14ac:dyDescent="0.25">
      <c r="A273" s="199" t="s">
        <v>253</v>
      </c>
      <c r="B273" s="175">
        <f t="shared" si="46"/>
        <v>900</v>
      </c>
      <c r="C273" s="172">
        <f t="shared" si="47"/>
        <v>900</v>
      </c>
    </row>
    <row r="274" spans="1:4" ht="24" customHeight="1" x14ac:dyDescent="0.25">
      <c r="A274" s="199" t="s">
        <v>254</v>
      </c>
      <c r="B274" s="175">
        <f t="shared" si="46"/>
        <v>900</v>
      </c>
      <c r="C274" s="172">
        <f t="shared" si="47"/>
        <v>900</v>
      </c>
    </row>
    <row r="275" spans="1:4" ht="24" customHeight="1" x14ac:dyDescent="0.25">
      <c r="A275" s="199" t="s">
        <v>255</v>
      </c>
      <c r="B275" s="175">
        <f t="shared" si="46"/>
        <v>900</v>
      </c>
      <c r="C275" s="172">
        <f t="shared" si="47"/>
        <v>900</v>
      </c>
    </row>
    <row r="276" spans="1:4" ht="24" customHeight="1" x14ac:dyDescent="0.25">
      <c r="A276" s="199" t="s">
        <v>256</v>
      </c>
      <c r="B276" s="175">
        <f t="shared" si="46"/>
        <v>900</v>
      </c>
      <c r="C276" s="172">
        <f t="shared" si="47"/>
        <v>900</v>
      </c>
    </row>
    <row r="277" spans="1:4" ht="24" customHeight="1" x14ac:dyDescent="0.25">
      <c r="A277" s="199" t="s">
        <v>258</v>
      </c>
      <c r="B277" s="175">
        <f t="shared" si="46"/>
        <v>900</v>
      </c>
      <c r="C277" s="172">
        <f t="shared" si="47"/>
        <v>900</v>
      </c>
    </row>
    <row r="278" spans="1:4" ht="24" customHeight="1" x14ac:dyDescent="0.25">
      <c r="A278" s="199" t="s">
        <v>260</v>
      </c>
      <c r="B278" s="175">
        <f t="shared" si="46"/>
        <v>900</v>
      </c>
      <c r="C278" s="172">
        <f t="shared" si="47"/>
        <v>900</v>
      </c>
    </row>
    <row r="279" spans="1:4" ht="24" customHeight="1" x14ac:dyDescent="0.25">
      <c r="A279" s="199" t="s">
        <v>259</v>
      </c>
      <c r="B279" s="175">
        <f t="shared" si="46"/>
        <v>900</v>
      </c>
      <c r="C279" s="172">
        <f t="shared" si="47"/>
        <v>900</v>
      </c>
    </row>
    <row r="280" spans="1:4" ht="24" customHeight="1" thickBot="1" x14ac:dyDescent="0.3"/>
    <row r="281" spans="1:4" ht="24" customHeight="1" thickBot="1" x14ac:dyDescent="0.3">
      <c r="A281" s="140" t="s">
        <v>49</v>
      </c>
      <c r="B281" s="141"/>
      <c r="C281" s="211"/>
      <c r="D281" s="212"/>
    </row>
    <row r="282" spans="1:4" ht="24" customHeight="1" x14ac:dyDescent="0.25">
      <c r="A282" s="4" t="s">
        <v>3</v>
      </c>
      <c r="B282" s="5" t="s">
        <v>1</v>
      </c>
      <c r="C282" s="181" t="s">
        <v>2</v>
      </c>
      <c r="D282" s="181" t="s">
        <v>42</v>
      </c>
    </row>
    <row r="283" spans="1:4" ht="24" customHeight="1" x14ac:dyDescent="0.25">
      <c r="A283" s="199" t="s">
        <v>252</v>
      </c>
      <c r="B283" s="216">
        <f>C270</f>
        <v>900</v>
      </c>
      <c r="C283" s="217">
        <v>0.2</v>
      </c>
      <c r="D283" s="165">
        <f>B283*C283</f>
        <v>180</v>
      </c>
    </row>
    <row r="284" spans="1:4" ht="24" customHeight="1" x14ac:dyDescent="0.25">
      <c r="A284" s="200" t="s">
        <v>251</v>
      </c>
      <c r="B284" s="216">
        <f t="shared" ref="B284:B292" si="48">C271</f>
        <v>900</v>
      </c>
      <c r="C284" s="217">
        <v>0.2</v>
      </c>
      <c r="D284" s="165">
        <f t="shared" ref="D284:D291" si="49">B284*C284</f>
        <v>180</v>
      </c>
    </row>
    <row r="285" spans="1:4" ht="24" customHeight="1" x14ac:dyDescent="0.25">
      <c r="A285" s="199" t="s">
        <v>250</v>
      </c>
      <c r="B285" s="216">
        <f t="shared" si="48"/>
        <v>900</v>
      </c>
      <c r="C285" s="217">
        <v>0.2</v>
      </c>
      <c r="D285" s="165">
        <f t="shared" si="49"/>
        <v>180</v>
      </c>
    </row>
    <row r="286" spans="1:4" ht="24" customHeight="1" x14ac:dyDescent="0.25">
      <c r="A286" s="199" t="s">
        <v>253</v>
      </c>
      <c r="B286" s="216">
        <f t="shared" si="48"/>
        <v>900</v>
      </c>
      <c r="C286" s="217">
        <v>0.2</v>
      </c>
      <c r="D286" s="165">
        <f t="shared" si="49"/>
        <v>180</v>
      </c>
    </row>
    <row r="287" spans="1:4" ht="24" customHeight="1" x14ac:dyDescent="0.25">
      <c r="A287" s="199" t="s">
        <v>254</v>
      </c>
      <c r="B287" s="216">
        <f t="shared" si="48"/>
        <v>900</v>
      </c>
      <c r="C287" s="217">
        <v>0.2</v>
      </c>
      <c r="D287" s="165">
        <f t="shared" si="49"/>
        <v>180</v>
      </c>
    </row>
    <row r="288" spans="1:4" ht="24" customHeight="1" x14ac:dyDescent="0.25">
      <c r="A288" s="199" t="s">
        <v>255</v>
      </c>
      <c r="B288" s="216">
        <f t="shared" si="48"/>
        <v>900</v>
      </c>
      <c r="C288" s="217">
        <v>0.2</v>
      </c>
      <c r="D288" s="165">
        <f t="shared" si="49"/>
        <v>180</v>
      </c>
    </row>
    <row r="289" spans="1:4" ht="24" customHeight="1" x14ac:dyDescent="0.25">
      <c r="A289" s="199" t="s">
        <v>256</v>
      </c>
      <c r="B289" s="216">
        <f t="shared" si="48"/>
        <v>900</v>
      </c>
      <c r="C289" s="217">
        <v>0.2</v>
      </c>
      <c r="D289" s="165">
        <f t="shared" si="49"/>
        <v>180</v>
      </c>
    </row>
    <row r="290" spans="1:4" ht="24" customHeight="1" x14ac:dyDescent="0.25">
      <c r="A290" s="199" t="s">
        <v>258</v>
      </c>
      <c r="B290" s="216">
        <f t="shared" si="48"/>
        <v>900</v>
      </c>
      <c r="C290" s="217">
        <v>0.2</v>
      </c>
      <c r="D290" s="165">
        <f t="shared" si="49"/>
        <v>180</v>
      </c>
    </row>
    <row r="291" spans="1:4" ht="24" customHeight="1" x14ac:dyDescent="0.25">
      <c r="A291" s="199" t="s">
        <v>260</v>
      </c>
      <c r="B291" s="216">
        <f t="shared" si="48"/>
        <v>900</v>
      </c>
      <c r="C291" s="217">
        <v>0.2</v>
      </c>
      <c r="D291" s="165">
        <f t="shared" si="49"/>
        <v>180</v>
      </c>
    </row>
    <row r="292" spans="1:4" ht="24" customHeight="1" x14ac:dyDescent="0.25">
      <c r="A292" s="199" t="s">
        <v>259</v>
      </c>
      <c r="B292" s="216">
        <f t="shared" si="48"/>
        <v>900</v>
      </c>
      <c r="C292" s="217">
        <v>0.2</v>
      </c>
      <c r="D292" s="165">
        <f>B292*C292</f>
        <v>180</v>
      </c>
    </row>
    <row r="293" spans="1:4" ht="24" customHeight="1" thickBot="1" x14ac:dyDescent="0.3"/>
    <row r="294" spans="1:4" ht="24" customHeight="1" thickBot="1" x14ac:dyDescent="0.3">
      <c r="A294" s="140" t="s">
        <v>50</v>
      </c>
      <c r="B294" s="141"/>
      <c r="C294" s="141"/>
      <c r="D294" s="142"/>
    </row>
    <row r="295" spans="1:4" ht="24" customHeight="1" x14ac:dyDescent="0.25">
      <c r="A295" s="4" t="s">
        <v>3</v>
      </c>
      <c r="B295" s="5" t="s">
        <v>38</v>
      </c>
      <c r="C295" s="5" t="s">
        <v>42</v>
      </c>
      <c r="D295" s="6" t="s">
        <v>45</v>
      </c>
    </row>
    <row r="296" spans="1:4" ht="24" customHeight="1" x14ac:dyDescent="0.25">
      <c r="A296" s="199" t="s">
        <v>252</v>
      </c>
      <c r="B296" s="53">
        <f>C270</f>
        <v>900</v>
      </c>
      <c r="C296" s="53">
        <f>D283</f>
        <v>180</v>
      </c>
      <c r="D296" s="165">
        <f>B296-C296</f>
        <v>720</v>
      </c>
    </row>
    <row r="297" spans="1:4" ht="24" customHeight="1" x14ac:dyDescent="0.25">
      <c r="A297" s="200" t="s">
        <v>251</v>
      </c>
      <c r="B297" s="53">
        <f t="shared" ref="B297:B305" si="50">C271</f>
        <v>900</v>
      </c>
      <c r="C297" s="53">
        <f t="shared" ref="C297:C305" si="51">D284</f>
        <v>180</v>
      </c>
      <c r="D297" s="165">
        <f t="shared" ref="D297:D305" si="52">B297-C297</f>
        <v>720</v>
      </c>
    </row>
    <row r="298" spans="1:4" ht="24" customHeight="1" x14ac:dyDescent="0.25">
      <c r="A298" s="199" t="s">
        <v>250</v>
      </c>
      <c r="B298" s="53">
        <f t="shared" si="50"/>
        <v>900</v>
      </c>
      <c r="C298" s="53">
        <f t="shared" si="51"/>
        <v>180</v>
      </c>
      <c r="D298" s="165">
        <f t="shared" si="52"/>
        <v>720</v>
      </c>
    </row>
    <row r="299" spans="1:4" ht="24" customHeight="1" x14ac:dyDescent="0.25">
      <c r="A299" s="199" t="s">
        <v>253</v>
      </c>
      <c r="B299" s="53">
        <f t="shared" si="50"/>
        <v>900</v>
      </c>
      <c r="C299" s="53">
        <f t="shared" si="51"/>
        <v>180</v>
      </c>
      <c r="D299" s="165">
        <f t="shared" si="52"/>
        <v>720</v>
      </c>
    </row>
    <row r="300" spans="1:4" ht="24" customHeight="1" x14ac:dyDescent="0.25">
      <c r="A300" s="199" t="s">
        <v>254</v>
      </c>
      <c r="B300" s="53">
        <f t="shared" si="50"/>
        <v>900</v>
      </c>
      <c r="C300" s="53">
        <f t="shared" si="51"/>
        <v>180</v>
      </c>
      <c r="D300" s="165">
        <f t="shared" si="52"/>
        <v>720</v>
      </c>
    </row>
    <row r="301" spans="1:4" ht="24" customHeight="1" x14ac:dyDescent="0.25">
      <c r="A301" s="199" t="s">
        <v>255</v>
      </c>
      <c r="B301" s="53">
        <f t="shared" si="50"/>
        <v>900</v>
      </c>
      <c r="C301" s="53">
        <f t="shared" si="51"/>
        <v>180</v>
      </c>
      <c r="D301" s="165">
        <f t="shared" si="52"/>
        <v>720</v>
      </c>
    </row>
    <row r="302" spans="1:4" ht="24" customHeight="1" x14ac:dyDescent="0.25">
      <c r="A302" s="199" t="s">
        <v>256</v>
      </c>
      <c r="B302" s="53">
        <f t="shared" si="50"/>
        <v>900</v>
      </c>
      <c r="C302" s="53">
        <f t="shared" si="51"/>
        <v>180</v>
      </c>
      <c r="D302" s="165">
        <f t="shared" si="52"/>
        <v>720</v>
      </c>
    </row>
    <row r="303" spans="1:4" ht="24" customHeight="1" x14ac:dyDescent="0.25">
      <c r="A303" s="199" t="s">
        <v>258</v>
      </c>
      <c r="B303" s="53">
        <f t="shared" si="50"/>
        <v>900</v>
      </c>
      <c r="C303" s="53">
        <f t="shared" si="51"/>
        <v>180</v>
      </c>
      <c r="D303" s="165">
        <f t="shared" si="52"/>
        <v>720</v>
      </c>
    </row>
    <row r="304" spans="1:4" ht="24" customHeight="1" x14ac:dyDescent="0.25">
      <c r="A304" s="199" t="s">
        <v>260</v>
      </c>
      <c r="B304" s="53">
        <f t="shared" si="50"/>
        <v>900</v>
      </c>
      <c r="C304" s="53">
        <f t="shared" si="51"/>
        <v>180</v>
      </c>
      <c r="D304" s="165">
        <f t="shared" si="52"/>
        <v>720</v>
      </c>
    </row>
    <row r="305" spans="1:9" ht="24" customHeight="1" x14ac:dyDescent="0.25">
      <c r="A305" s="199" t="s">
        <v>259</v>
      </c>
      <c r="B305" s="53">
        <f t="shared" si="50"/>
        <v>900</v>
      </c>
      <c r="C305" s="53">
        <f t="shared" si="51"/>
        <v>180</v>
      </c>
      <c r="D305" s="165">
        <f t="shared" si="52"/>
        <v>720</v>
      </c>
    </row>
    <row r="307" spans="1:9" ht="51.75" customHeight="1" x14ac:dyDescent="0.25">
      <c r="A307" s="157" t="s">
        <v>266</v>
      </c>
      <c r="B307" s="157"/>
      <c r="C307" s="157"/>
      <c r="D307" s="157"/>
      <c r="E307" s="157"/>
      <c r="F307" s="157"/>
      <c r="G307" s="157"/>
      <c r="H307" s="157"/>
      <c r="I307" s="157"/>
    </row>
    <row r="308" spans="1:9" ht="24" customHeight="1" thickBot="1" x14ac:dyDescent="0.3"/>
    <row r="309" spans="1:9" ht="24" customHeight="1" thickBot="1" x14ac:dyDescent="0.3">
      <c r="A309" s="140" t="s">
        <v>267</v>
      </c>
      <c r="B309" s="141"/>
      <c r="C309" s="141"/>
      <c r="D309" s="142"/>
    </row>
    <row r="310" spans="1:9" ht="50.25" customHeight="1" x14ac:dyDescent="0.25">
      <c r="A310" s="4" t="s">
        <v>3</v>
      </c>
      <c r="B310" s="5" t="s">
        <v>268</v>
      </c>
      <c r="C310" s="58" t="s">
        <v>269</v>
      </c>
      <c r="D310" s="219" t="s">
        <v>270</v>
      </c>
    </row>
    <row r="311" spans="1:9" ht="24" customHeight="1" x14ac:dyDescent="0.25">
      <c r="A311" s="199" t="s">
        <v>252</v>
      </c>
      <c r="B311" s="175">
        <v>94.5</v>
      </c>
      <c r="C311" s="175">
        <v>31</v>
      </c>
      <c r="D311" s="175">
        <v>31</v>
      </c>
    </row>
    <row r="312" spans="1:9" ht="24" customHeight="1" x14ac:dyDescent="0.25">
      <c r="A312" s="200" t="s">
        <v>251</v>
      </c>
      <c r="B312" s="175">
        <v>94.5</v>
      </c>
      <c r="C312" s="175">
        <v>31</v>
      </c>
      <c r="D312" s="175">
        <v>31</v>
      </c>
    </row>
    <row r="313" spans="1:9" ht="24" customHeight="1" x14ac:dyDescent="0.25">
      <c r="A313" s="199" t="s">
        <v>250</v>
      </c>
      <c r="B313" s="175">
        <v>94.5</v>
      </c>
      <c r="C313" s="175">
        <v>31</v>
      </c>
      <c r="D313" s="175">
        <v>31</v>
      </c>
    </row>
    <row r="314" spans="1:9" ht="24" customHeight="1" x14ac:dyDescent="0.25">
      <c r="A314" s="199" t="s">
        <v>253</v>
      </c>
      <c r="B314" s="175">
        <v>94.5</v>
      </c>
      <c r="C314" s="175">
        <v>31</v>
      </c>
      <c r="D314" s="175">
        <v>31</v>
      </c>
    </row>
    <row r="315" spans="1:9" ht="24" customHeight="1" x14ac:dyDescent="0.25">
      <c r="A315" s="199" t="s">
        <v>254</v>
      </c>
      <c r="B315" s="175">
        <v>94.5</v>
      </c>
      <c r="C315" s="175">
        <v>31</v>
      </c>
      <c r="D315" s="175">
        <v>31</v>
      </c>
    </row>
    <row r="316" spans="1:9" ht="24" customHeight="1" x14ac:dyDescent="0.25">
      <c r="A316" s="199" t="s">
        <v>255</v>
      </c>
      <c r="B316" s="175">
        <v>94.5</v>
      </c>
      <c r="C316" s="175">
        <v>31</v>
      </c>
      <c r="D316" s="175">
        <v>31</v>
      </c>
    </row>
    <row r="317" spans="1:9" ht="24" customHeight="1" x14ac:dyDescent="0.25">
      <c r="A317" s="199" t="s">
        <v>256</v>
      </c>
      <c r="B317" s="175">
        <v>94.5</v>
      </c>
      <c r="C317" s="175">
        <v>31</v>
      </c>
      <c r="D317" s="175">
        <v>31</v>
      </c>
    </row>
    <row r="318" spans="1:9" ht="24" customHeight="1" x14ac:dyDescent="0.25">
      <c r="A318" s="199" t="s">
        <v>258</v>
      </c>
      <c r="B318" s="175">
        <v>94.5</v>
      </c>
      <c r="C318" s="175">
        <v>31</v>
      </c>
      <c r="D318" s="175">
        <v>31</v>
      </c>
    </row>
    <row r="319" spans="1:9" ht="24" customHeight="1" x14ac:dyDescent="0.25">
      <c r="A319" s="199" t="s">
        <v>260</v>
      </c>
      <c r="B319" s="175">
        <v>94.5</v>
      </c>
      <c r="C319" s="175">
        <v>31</v>
      </c>
      <c r="D319" s="175">
        <v>31</v>
      </c>
    </row>
    <row r="320" spans="1:9" ht="24" customHeight="1" x14ac:dyDescent="0.25">
      <c r="A320" s="199" t="s">
        <v>259</v>
      </c>
      <c r="B320" s="175">
        <v>94.5</v>
      </c>
      <c r="C320" s="175">
        <v>31</v>
      </c>
      <c r="D320" s="175">
        <v>31</v>
      </c>
    </row>
    <row r="321" spans="1:9" ht="24" customHeight="1" thickBot="1" x14ac:dyDescent="0.3"/>
    <row r="322" spans="1:9" ht="24" customHeight="1" thickBot="1" x14ac:dyDescent="0.3">
      <c r="A322" s="140" t="s">
        <v>34</v>
      </c>
      <c r="B322" s="141"/>
      <c r="C322" s="141"/>
      <c r="D322" s="141"/>
      <c r="E322" s="141"/>
      <c r="F322" s="141"/>
      <c r="G322" s="142"/>
      <c r="H322" s="13"/>
    </row>
    <row r="323" spans="1:9" ht="24" customHeight="1" x14ac:dyDescent="0.25">
      <c r="A323" s="4" t="s">
        <v>3</v>
      </c>
      <c r="B323" s="5" t="s">
        <v>51</v>
      </c>
      <c r="C323" s="5" t="s">
        <v>273</v>
      </c>
      <c r="D323" s="5" t="s">
        <v>271</v>
      </c>
      <c r="E323" s="58" t="s">
        <v>274</v>
      </c>
      <c r="F323" s="18" t="s">
        <v>272</v>
      </c>
      <c r="G323" s="6" t="s">
        <v>14</v>
      </c>
    </row>
    <row r="324" spans="1:9" ht="24" customHeight="1" x14ac:dyDescent="0.25">
      <c r="A324" s="199" t="s">
        <v>252</v>
      </c>
      <c r="B324" s="175">
        <f>D256</f>
        <v>116.36363636363637</v>
      </c>
      <c r="C324" s="175">
        <f>D296</f>
        <v>720</v>
      </c>
      <c r="D324" s="175">
        <f>B311</f>
        <v>94.5</v>
      </c>
      <c r="E324" s="175">
        <f>C311</f>
        <v>31</v>
      </c>
      <c r="F324" s="175">
        <f>D311</f>
        <v>31</v>
      </c>
      <c r="G324" s="172">
        <f>SUM(B324:F324)</f>
        <v>992.86363636363637</v>
      </c>
    </row>
    <row r="325" spans="1:9" ht="24" customHeight="1" x14ac:dyDescent="0.25">
      <c r="A325" s="200" t="s">
        <v>251</v>
      </c>
      <c r="B325" s="175">
        <f t="shared" ref="B325:B332" si="53">D257</f>
        <v>93</v>
      </c>
      <c r="C325" s="175">
        <f t="shared" ref="C325:C333" si="54">D297</f>
        <v>720</v>
      </c>
      <c r="D325" s="175">
        <f t="shared" ref="D325:D333" si="55">B312</f>
        <v>94.5</v>
      </c>
      <c r="E325" s="175">
        <f t="shared" ref="E325:E333" si="56">C312</f>
        <v>31</v>
      </c>
      <c r="F325" s="175">
        <f>D312</f>
        <v>31</v>
      </c>
      <c r="G325" s="172">
        <f>SUM(B325:F325)</f>
        <v>969.5</v>
      </c>
    </row>
    <row r="326" spans="1:9" ht="24" customHeight="1" x14ac:dyDescent="0.25">
      <c r="A326" s="199" t="s">
        <v>250</v>
      </c>
      <c r="B326" s="175">
        <f t="shared" si="53"/>
        <v>93</v>
      </c>
      <c r="C326" s="175">
        <f t="shared" si="54"/>
        <v>720</v>
      </c>
      <c r="D326" s="175">
        <f t="shared" si="55"/>
        <v>94.5</v>
      </c>
      <c r="E326" s="175">
        <f t="shared" si="56"/>
        <v>31</v>
      </c>
      <c r="F326" s="175">
        <f>D313</f>
        <v>31</v>
      </c>
      <c r="G326" s="172">
        <f>SUM(B326:F326)</f>
        <v>969.5</v>
      </c>
    </row>
    <row r="327" spans="1:9" ht="24" customHeight="1" x14ac:dyDescent="0.25">
      <c r="A327" s="199" t="s">
        <v>253</v>
      </c>
      <c r="B327" s="175">
        <f t="shared" si="53"/>
        <v>91.17</v>
      </c>
      <c r="C327" s="175">
        <f t="shared" si="54"/>
        <v>720</v>
      </c>
      <c r="D327" s="175">
        <f t="shared" si="55"/>
        <v>94.5</v>
      </c>
      <c r="E327" s="175">
        <f t="shared" si="56"/>
        <v>31</v>
      </c>
      <c r="F327" s="175">
        <f>D314</f>
        <v>31</v>
      </c>
      <c r="G327" s="172">
        <f>SUM(B327:F327)</f>
        <v>967.67</v>
      </c>
    </row>
    <row r="328" spans="1:9" ht="24" customHeight="1" x14ac:dyDescent="0.25">
      <c r="A328" s="199" t="s">
        <v>254</v>
      </c>
      <c r="B328" s="175">
        <f t="shared" si="53"/>
        <v>91.17</v>
      </c>
      <c r="C328" s="175">
        <f t="shared" si="54"/>
        <v>720</v>
      </c>
      <c r="D328" s="175">
        <f t="shared" si="55"/>
        <v>94.5</v>
      </c>
      <c r="E328" s="175">
        <f t="shared" si="56"/>
        <v>31</v>
      </c>
      <c r="F328" s="175">
        <f>D315</f>
        <v>31</v>
      </c>
      <c r="G328" s="172">
        <f>SUM(B328:F328)</f>
        <v>967.67</v>
      </c>
    </row>
    <row r="329" spans="1:9" ht="24" customHeight="1" x14ac:dyDescent="0.25">
      <c r="A329" s="199" t="s">
        <v>255</v>
      </c>
      <c r="B329" s="175">
        <f t="shared" si="53"/>
        <v>91.17</v>
      </c>
      <c r="C329" s="175">
        <f t="shared" si="54"/>
        <v>720</v>
      </c>
      <c r="D329" s="175">
        <f t="shared" si="55"/>
        <v>94.5</v>
      </c>
      <c r="E329" s="175">
        <f t="shared" si="56"/>
        <v>31</v>
      </c>
      <c r="F329" s="175">
        <f>D316</f>
        <v>31</v>
      </c>
      <c r="G329" s="172">
        <f>SUM(B329:F329)</f>
        <v>967.67</v>
      </c>
    </row>
    <row r="330" spans="1:9" ht="24" customHeight="1" x14ac:dyDescent="0.25">
      <c r="A330" s="199" t="s">
        <v>256</v>
      </c>
      <c r="B330" s="175">
        <f t="shared" si="53"/>
        <v>102.34</v>
      </c>
      <c r="C330" s="175">
        <f t="shared" si="54"/>
        <v>720</v>
      </c>
      <c r="D330" s="175">
        <f t="shared" si="55"/>
        <v>94.5</v>
      </c>
      <c r="E330" s="175">
        <f t="shared" si="56"/>
        <v>31</v>
      </c>
      <c r="F330" s="175">
        <f>D317</f>
        <v>31</v>
      </c>
      <c r="G330" s="172">
        <f>SUM(B330:F330)</f>
        <v>978.84</v>
      </c>
    </row>
    <row r="331" spans="1:9" ht="24" customHeight="1" x14ac:dyDescent="0.25">
      <c r="A331" s="199" t="s">
        <v>258</v>
      </c>
      <c r="B331" s="175">
        <f t="shared" si="53"/>
        <v>116.36363636363637</v>
      </c>
      <c r="C331" s="175">
        <f t="shared" si="54"/>
        <v>720</v>
      </c>
      <c r="D331" s="175">
        <f t="shared" si="55"/>
        <v>94.5</v>
      </c>
      <c r="E331" s="175">
        <f t="shared" si="56"/>
        <v>31</v>
      </c>
      <c r="F331" s="175">
        <f>D318</f>
        <v>31</v>
      </c>
      <c r="G331" s="172">
        <f>SUM(B331:F331)</f>
        <v>992.86363636363637</v>
      </c>
    </row>
    <row r="332" spans="1:9" ht="24" customHeight="1" x14ac:dyDescent="0.25">
      <c r="A332" s="199" t="s">
        <v>260</v>
      </c>
      <c r="B332" s="175">
        <f t="shared" si="53"/>
        <v>38.620000000000005</v>
      </c>
      <c r="C332" s="175">
        <f t="shared" si="54"/>
        <v>720</v>
      </c>
      <c r="D332" s="175">
        <f t="shared" si="55"/>
        <v>94.5</v>
      </c>
      <c r="E332" s="175">
        <f t="shared" si="56"/>
        <v>31</v>
      </c>
      <c r="F332" s="175">
        <f>D319</f>
        <v>31</v>
      </c>
      <c r="G332" s="172">
        <f>SUM(B332:F332)</f>
        <v>915.12</v>
      </c>
    </row>
    <row r="333" spans="1:9" ht="24" customHeight="1" x14ac:dyDescent="0.25">
      <c r="A333" s="199" t="s">
        <v>259</v>
      </c>
      <c r="B333" s="175">
        <f>D265</f>
        <v>38.620000000000005</v>
      </c>
      <c r="C333" s="175">
        <f t="shared" si="54"/>
        <v>720</v>
      </c>
      <c r="D333" s="175">
        <f t="shared" si="55"/>
        <v>94.5</v>
      </c>
      <c r="E333" s="175">
        <f t="shared" si="56"/>
        <v>31</v>
      </c>
      <c r="F333" s="175">
        <f>D320</f>
        <v>31</v>
      </c>
      <c r="G333" s="172">
        <f>SUM(B333:F333)</f>
        <v>915.12</v>
      </c>
    </row>
    <row r="335" spans="1:9" ht="24" customHeight="1" x14ac:dyDescent="0.25">
      <c r="A335" s="132" t="s">
        <v>130</v>
      </c>
      <c r="B335" s="132"/>
      <c r="C335" s="132"/>
      <c r="D335" s="132"/>
      <c r="E335" s="132"/>
      <c r="F335" s="132"/>
      <c r="G335" s="132"/>
      <c r="H335" s="132"/>
      <c r="I335" s="132"/>
    </row>
    <row r="336" spans="1:9" ht="24" customHeight="1" thickBot="1" x14ac:dyDescent="0.3"/>
    <row r="337" spans="1:9" ht="24" customHeight="1" thickBot="1" x14ac:dyDescent="0.3">
      <c r="A337" s="140" t="s">
        <v>130</v>
      </c>
      <c r="B337" s="141"/>
      <c r="C337" s="141"/>
      <c r="D337" s="141"/>
      <c r="E337" s="142"/>
      <c r="F337" s="226"/>
    </row>
    <row r="338" spans="1:9" ht="24" customHeight="1" x14ac:dyDescent="0.25">
      <c r="A338" s="4" t="s">
        <v>3</v>
      </c>
      <c r="B338" s="5" t="s">
        <v>62</v>
      </c>
      <c r="C338" s="5" t="s">
        <v>63</v>
      </c>
      <c r="D338" s="5" t="s">
        <v>64</v>
      </c>
      <c r="E338" s="6" t="s">
        <v>14</v>
      </c>
      <c r="F338" s="226"/>
    </row>
    <row r="339" spans="1:9" ht="24" customHeight="1" x14ac:dyDescent="0.25">
      <c r="A339" s="199" t="s">
        <v>252</v>
      </c>
      <c r="B339" s="175">
        <f>E160</f>
        <v>398.89747474747469</v>
      </c>
      <c r="C339" s="175">
        <f>D214</f>
        <v>901.73623434343426</v>
      </c>
      <c r="D339" s="175">
        <f>G324</f>
        <v>992.86363636363637</v>
      </c>
      <c r="E339" s="172">
        <f>SUM(B339:D339)</f>
        <v>2293.4973454545452</v>
      </c>
      <c r="F339" s="190"/>
    </row>
    <row r="340" spans="1:9" ht="24" customHeight="1" x14ac:dyDescent="0.25">
      <c r="A340" s="200" t="s">
        <v>251</v>
      </c>
      <c r="B340" s="175">
        <f t="shared" ref="B340:B348" si="57">E161</f>
        <v>432.48333333333323</v>
      </c>
      <c r="C340" s="175">
        <f t="shared" ref="C340:C348" si="58">D215</f>
        <v>977.65946666666662</v>
      </c>
      <c r="D340" s="175">
        <f t="shared" ref="D340:D348" si="59">G325</f>
        <v>969.5</v>
      </c>
      <c r="E340" s="172">
        <f t="shared" ref="E340:E348" si="60">SUM(B340:D340)</f>
        <v>2379.6427999999996</v>
      </c>
      <c r="F340" s="190"/>
    </row>
    <row r="341" spans="1:9" ht="24" customHeight="1" x14ac:dyDescent="0.25">
      <c r="A341" s="199" t="s">
        <v>250</v>
      </c>
      <c r="B341" s="175">
        <f t="shared" si="57"/>
        <v>526.18805555555548</v>
      </c>
      <c r="C341" s="175">
        <f t="shared" si="58"/>
        <v>1189.4856844444444</v>
      </c>
      <c r="D341" s="175">
        <f t="shared" si="59"/>
        <v>969.5</v>
      </c>
      <c r="E341" s="172">
        <f t="shared" si="60"/>
        <v>2685.1737399999997</v>
      </c>
      <c r="F341" s="190"/>
    </row>
    <row r="342" spans="1:9" ht="24" customHeight="1" x14ac:dyDescent="0.25">
      <c r="A342" s="199" t="s">
        <v>253</v>
      </c>
      <c r="B342" s="175">
        <f t="shared" si="57"/>
        <v>444.34444444444438</v>
      </c>
      <c r="C342" s="175">
        <f t="shared" si="58"/>
        <v>1004.4723555555556</v>
      </c>
      <c r="D342" s="175">
        <f t="shared" si="59"/>
        <v>967.67</v>
      </c>
      <c r="E342" s="172">
        <f t="shared" si="60"/>
        <v>2416.4868000000001</v>
      </c>
      <c r="F342" s="190"/>
    </row>
    <row r="343" spans="1:9" ht="24" customHeight="1" x14ac:dyDescent="0.25">
      <c r="A343" s="199" t="s">
        <v>254</v>
      </c>
      <c r="B343" s="175">
        <f t="shared" si="57"/>
        <v>444.34444444444438</v>
      </c>
      <c r="C343" s="175">
        <f t="shared" si="58"/>
        <v>1004.4723555555556</v>
      </c>
      <c r="D343" s="175">
        <f t="shared" si="59"/>
        <v>967.67</v>
      </c>
      <c r="E343" s="172">
        <f t="shared" si="60"/>
        <v>2416.4868000000001</v>
      </c>
      <c r="F343" s="190"/>
    </row>
    <row r="344" spans="1:9" ht="24" customHeight="1" x14ac:dyDescent="0.25">
      <c r="A344" s="199" t="s">
        <v>255</v>
      </c>
      <c r="B344" s="175">
        <f t="shared" si="57"/>
        <v>485.6049999999999</v>
      </c>
      <c r="C344" s="175">
        <f t="shared" si="58"/>
        <v>1097.7447885714287</v>
      </c>
      <c r="D344" s="175">
        <f t="shared" si="59"/>
        <v>967.67</v>
      </c>
      <c r="E344" s="172">
        <f t="shared" si="60"/>
        <v>2551.0197885714288</v>
      </c>
      <c r="F344" s="190"/>
    </row>
    <row r="345" spans="1:9" ht="24" customHeight="1" x14ac:dyDescent="0.25">
      <c r="A345" s="199" t="s">
        <v>256</v>
      </c>
      <c r="B345" s="175">
        <f t="shared" si="57"/>
        <v>444.34444444444438</v>
      </c>
      <c r="C345" s="175">
        <f t="shared" si="58"/>
        <v>1004.4723555555556</v>
      </c>
      <c r="D345" s="175">
        <f t="shared" si="59"/>
        <v>978.84</v>
      </c>
      <c r="E345" s="172">
        <f t="shared" si="60"/>
        <v>2427.6568000000002</v>
      </c>
      <c r="F345" s="190"/>
    </row>
    <row r="346" spans="1:9" ht="24" customHeight="1" x14ac:dyDescent="0.25">
      <c r="A346" s="199" t="s">
        <v>258</v>
      </c>
      <c r="B346" s="175">
        <f t="shared" si="57"/>
        <v>424.36969696969697</v>
      </c>
      <c r="C346" s="175">
        <f t="shared" si="58"/>
        <v>959.31801212121229</v>
      </c>
      <c r="D346" s="175">
        <f t="shared" si="59"/>
        <v>992.86363636363637</v>
      </c>
      <c r="E346" s="172">
        <f t="shared" si="60"/>
        <v>2376.5513454545458</v>
      </c>
      <c r="F346" s="190"/>
    </row>
    <row r="347" spans="1:9" ht="24" customHeight="1" x14ac:dyDescent="0.25">
      <c r="A347" s="199" t="s">
        <v>260</v>
      </c>
      <c r="B347" s="175">
        <f t="shared" si="57"/>
        <v>650.84444444444432</v>
      </c>
      <c r="C347" s="175">
        <f t="shared" si="58"/>
        <v>1471.2803555555556</v>
      </c>
      <c r="D347" s="175">
        <f t="shared" si="59"/>
        <v>915.12</v>
      </c>
      <c r="E347" s="172">
        <f t="shared" si="60"/>
        <v>3037.2447999999999</v>
      </c>
      <c r="F347" s="190"/>
    </row>
    <row r="348" spans="1:9" ht="24" customHeight="1" x14ac:dyDescent="0.25">
      <c r="A348" s="199" t="s">
        <v>259</v>
      </c>
      <c r="B348" s="175">
        <f t="shared" si="57"/>
        <v>650.84444444444432</v>
      </c>
      <c r="C348" s="175">
        <f t="shared" si="58"/>
        <v>1471.2803555555556</v>
      </c>
      <c r="D348" s="175">
        <f t="shared" si="59"/>
        <v>915.12</v>
      </c>
      <c r="E348" s="172">
        <f t="shared" si="60"/>
        <v>3037.2447999999999</v>
      </c>
      <c r="F348" s="190"/>
    </row>
    <row r="350" spans="1:9" ht="24" customHeight="1" x14ac:dyDescent="0.25">
      <c r="A350" s="132" t="s">
        <v>52</v>
      </c>
      <c r="B350" s="132"/>
      <c r="C350" s="132"/>
      <c r="D350" s="132"/>
      <c r="E350" s="132"/>
      <c r="F350" s="132"/>
      <c r="G350" s="132"/>
      <c r="H350" s="132"/>
      <c r="I350" s="132"/>
    </row>
    <row r="351" spans="1:9" ht="39" customHeight="1" x14ac:dyDescent="0.25">
      <c r="A351" s="143" t="s">
        <v>235</v>
      </c>
      <c r="B351" s="143"/>
      <c r="C351" s="143"/>
      <c r="D351" s="143"/>
      <c r="E351" s="143"/>
      <c r="F351" s="143"/>
      <c r="G351" s="143"/>
      <c r="H351" s="143"/>
      <c r="I351" s="143"/>
    </row>
    <row r="352" spans="1:9" ht="24" customHeight="1" thickBot="1" x14ac:dyDescent="0.3"/>
    <row r="353" spans="1:10" ht="16.5" customHeight="1" thickBot="1" x14ac:dyDescent="0.3">
      <c r="A353" s="144" t="s">
        <v>53</v>
      </c>
      <c r="B353" s="146"/>
      <c r="C353" s="229" t="s">
        <v>275</v>
      </c>
      <c r="D353" s="232"/>
      <c r="E353" s="232"/>
      <c r="F353" s="231"/>
      <c r="G353" s="231"/>
      <c r="H353" s="231"/>
      <c r="I353" s="231"/>
      <c r="J353" s="231"/>
    </row>
    <row r="354" spans="1:10" ht="16.5" thickBot="1" x14ac:dyDescent="0.3">
      <c r="A354" s="110" t="s">
        <v>54</v>
      </c>
      <c r="B354" s="111" t="s">
        <v>2</v>
      </c>
      <c r="C354" s="229"/>
      <c r="D354" s="232"/>
      <c r="E354" s="232"/>
      <c r="F354" s="231"/>
      <c r="G354" s="231"/>
      <c r="H354" s="231"/>
      <c r="I354" s="231"/>
      <c r="J354" s="231"/>
    </row>
    <row r="355" spans="1:10" ht="31.5" x14ac:dyDescent="0.25">
      <c r="A355" s="17" t="s">
        <v>55</v>
      </c>
      <c r="B355" s="45">
        <v>0.65710000000000002</v>
      </c>
      <c r="C355" s="229"/>
      <c r="D355" s="232"/>
      <c r="E355" s="232"/>
      <c r="F355" s="231"/>
      <c r="G355" s="231"/>
      <c r="H355" s="231"/>
      <c r="I355" s="231"/>
      <c r="J355" s="231"/>
    </row>
    <row r="356" spans="1:10" ht="31.5" x14ac:dyDescent="0.25">
      <c r="A356" s="66" t="s">
        <v>56</v>
      </c>
      <c r="B356" s="67">
        <f>B355*45%</f>
        <v>0.29569500000000004</v>
      </c>
      <c r="C356" s="229"/>
      <c r="D356" s="232"/>
      <c r="E356" s="232"/>
      <c r="F356" s="231"/>
      <c r="G356" s="231"/>
      <c r="H356" s="231"/>
      <c r="I356" s="231"/>
      <c r="J356" s="231"/>
    </row>
    <row r="357" spans="1:10" ht="31.5" x14ac:dyDescent="0.25">
      <c r="A357" s="66" t="s">
        <v>57</v>
      </c>
      <c r="B357" s="67">
        <f>B355*55%</f>
        <v>0.36140500000000003</v>
      </c>
      <c r="C357" s="229"/>
      <c r="D357" s="232"/>
      <c r="E357" s="232"/>
      <c r="F357" s="231"/>
      <c r="G357" s="231"/>
      <c r="H357" s="231"/>
      <c r="I357" s="231"/>
      <c r="J357" s="231"/>
    </row>
    <row r="358" spans="1:10" ht="32.25" customHeight="1" x14ac:dyDescent="0.25">
      <c r="A358" s="14" t="s">
        <v>58</v>
      </c>
      <c r="B358" s="46">
        <v>0.01</v>
      </c>
      <c r="C358" s="229"/>
      <c r="D358" s="232"/>
      <c r="E358" s="232"/>
      <c r="F358" s="231"/>
      <c r="G358" s="231"/>
      <c r="H358" s="231"/>
      <c r="I358" s="231"/>
      <c r="J358" s="231"/>
    </row>
    <row r="359" spans="1:10" ht="30" customHeight="1" thickBot="1" x14ac:dyDescent="0.3">
      <c r="A359" s="15" t="s">
        <v>59</v>
      </c>
      <c r="B359" s="47">
        <v>0.33289999999999997</v>
      </c>
      <c r="C359" s="229"/>
      <c r="D359" s="232"/>
      <c r="E359" s="232"/>
      <c r="F359" s="231"/>
      <c r="G359" s="231"/>
      <c r="H359" s="231"/>
      <c r="I359" s="231"/>
      <c r="J359" s="231"/>
    </row>
    <row r="360" spans="1:10" ht="24" customHeight="1" thickBot="1" x14ac:dyDescent="0.3">
      <c r="A360" s="110" t="s">
        <v>30</v>
      </c>
      <c r="B360" s="16">
        <f>SUM(B356:B359)</f>
        <v>1</v>
      </c>
      <c r="I360" s="62"/>
    </row>
    <row r="362" spans="1:10" ht="24" customHeight="1" x14ac:dyDescent="0.25">
      <c r="A362" s="137" t="s">
        <v>60</v>
      </c>
      <c r="B362" s="138"/>
      <c r="C362" s="138"/>
      <c r="D362" s="138"/>
      <c r="E362" s="138"/>
      <c r="F362" s="138"/>
      <c r="G362" s="138"/>
      <c r="H362" s="138"/>
      <c r="I362" s="138"/>
    </row>
    <row r="363" spans="1:10" ht="66.75" customHeight="1" x14ac:dyDescent="0.25">
      <c r="A363" s="143" t="s">
        <v>241</v>
      </c>
      <c r="B363" s="143"/>
      <c r="C363" s="143"/>
      <c r="D363" s="143"/>
      <c r="E363" s="143"/>
      <c r="F363" s="143"/>
      <c r="G363" s="143"/>
      <c r="H363" s="143"/>
      <c r="I363" s="143"/>
    </row>
    <row r="364" spans="1:10" ht="16.5" thickBot="1" x14ac:dyDescent="0.3"/>
    <row r="365" spans="1:10" ht="24" customHeight="1" thickBot="1" x14ac:dyDescent="0.3">
      <c r="A365" s="140" t="s">
        <v>61</v>
      </c>
      <c r="B365" s="141"/>
      <c r="C365" s="141"/>
      <c r="D365" s="142"/>
    </row>
    <row r="366" spans="1:10" ht="30" customHeight="1" x14ac:dyDescent="0.25">
      <c r="A366" s="4" t="s">
        <v>3</v>
      </c>
      <c r="B366" s="5" t="s">
        <v>1</v>
      </c>
      <c r="C366" s="58" t="s">
        <v>132</v>
      </c>
      <c r="D366" s="6" t="s">
        <v>4</v>
      </c>
    </row>
    <row r="367" spans="1:10" ht="24" customHeight="1" x14ac:dyDescent="0.25">
      <c r="A367" s="199" t="s">
        <v>252</v>
      </c>
      <c r="B367" s="175">
        <f>G104+(E339-D188)</f>
        <v>3639.2634545454544</v>
      </c>
      <c r="C367" s="51">
        <v>12</v>
      </c>
      <c r="D367" s="172">
        <f>B367/C367</f>
        <v>303.27195454545455</v>
      </c>
    </row>
    <row r="368" spans="1:10" ht="24" customHeight="1" x14ac:dyDescent="0.25">
      <c r="A368" s="200" t="s">
        <v>251</v>
      </c>
      <c r="B368" s="175">
        <f>G105+(E340-D189)</f>
        <v>3838.7179999999994</v>
      </c>
      <c r="C368" s="51">
        <v>12</v>
      </c>
      <c r="D368" s="172">
        <f t="shared" ref="D368:D376" si="61">B368/C368</f>
        <v>319.89316666666662</v>
      </c>
    </row>
    <row r="369" spans="1:6" ht="24" customHeight="1" x14ac:dyDescent="0.25">
      <c r="A369" s="199" t="s">
        <v>250</v>
      </c>
      <c r="B369" s="175">
        <f>G106+(E341-D190)</f>
        <v>4460.3818999999994</v>
      </c>
      <c r="C369" s="51">
        <v>12</v>
      </c>
      <c r="D369" s="172">
        <f t="shared" si="61"/>
        <v>371.6984916666666</v>
      </c>
    </row>
    <row r="370" spans="1:6" ht="24" customHeight="1" x14ac:dyDescent="0.25">
      <c r="A370" s="199" t="s">
        <v>253</v>
      </c>
      <c r="B370" s="175">
        <f>G107+(E342-D191)</f>
        <v>3915.578</v>
      </c>
      <c r="C370" s="51">
        <v>12</v>
      </c>
      <c r="D370" s="172">
        <f t="shared" si="61"/>
        <v>326.29816666666665</v>
      </c>
    </row>
    <row r="371" spans="1:6" ht="24" customHeight="1" x14ac:dyDescent="0.25">
      <c r="A371" s="199" t="s">
        <v>254</v>
      </c>
      <c r="B371" s="175">
        <f>G108+(E343-D192)</f>
        <v>3915.578</v>
      </c>
      <c r="C371" s="51">
        <v>12</v>
      </c>
      <c r="D371" s="172">
        <f t="shared" si="61"/>
        <v>326.29816666666665</v>
      </c>
    </row>
    <row r="372" spans="1:6" ht="24" customHeight="1" x14ac:dyDescent="0.25">
      <c r="A372" s="199" t="s">
        <v>255</v>
      </c>
      <c r="B372" s="175">
        <f>G109+(E344-D193)</f>
        <v>4189.3123142857148</v>
      </c>
      <c r="C372" s="51">
        <v>12</v>
      </c>
      <c r="D372" s="172">
        <f t="shared" si="61"/>
        <v>349.10935952380959</v>
      </c>
    </row>
    <row r="373" spans="1:6" ht="24" customHeight="1" x14ac:dyDescent="0.25">
      <c r="A373" s="199" t="s">
        <v>256</v>
      </c>
      <c r="B373" s="175">
        <f>G110+(E345-D194)</f>
        <v>3926.748</v>
      </c>
      <c r="C373" s="51">
        <v>12</v>
      </c>
      <c r="D373" s="172">
        <f t="shared" si="61"/>
        <v>327.22899999999998</v>
      </c>
    </row>
    <row r="374" spans="1:6" ht="24" customHeight="1" x14ac:dyDescent="0.25">
      <c r="A374" s="199" t="s">
        <v>258</v>
      </c>
      <c r="B374" s="175">
        <f>G111+(E346-D195)</f>
        <v>3808.2534545454546</v>
      </c>
      <c r="C374" s="51">
        <v>12</v>
      </c>
      <c r="D374" s="172">
        <f t="shared" si="61"/>
        <v>317.35445454545453</v>
      </c>
    </row>
    <row r="375" spans="1:6" ht="24" customHeight="1" x14ac:dyDescent="0.25">
      <c r="A375" s="199" t="s">
        <v>260</v>
      </c>
      <c r="B375" s="175">
        <f>G112+(E347-D196)</f>
        <v>5233.0079999999998</v>
      </c>
      <c r="C375" s="51">
        <v>12</v>
      </c>
      <c r="D375" s="172">
        <f t="shared" si="61"/>
        <v>436.084</v>
      </c>
    </row>
    <row r="376" spans="1:6" ht="24" customHeight="1" x14ac:dyDescent="0.25">
      <c r="A376" s="199" t="s">
        <v>259</v>
      </c>
      <c r="B376" s="175">
        <f>G113+(E348-D197)</f>
        <v>5233.0079999999998</v>
      </c>
      <c r="C376" s="51">
        <v>12</v>
      </c>
      <c r="D376" s="172">
        <f t="shared" si="61"/>
        <v>436.084</v>
      </c>
    </row>
    <row r="377" spans="1:6" ht="16.5" thickBot="1" x14ac:dyDescent="0.3"/>
    <row r="378" spans="1:6" ht="25.5" customHeight="1" thickBot="1" x14ac:dyDescent="0.3">
      <c r="A378" s="144" t="s">
        <v>276</v>
      </c>
      <c r="B378" s="145"/>
      <c r="C378" s="145"/>
      <c r="D378" s="146"/>
      <c r="E378" s="19"/>
      <c r="F378" s="19"/>
    </row>
    <row r="379" spans="1:6" ht="28.5" customHeight="1" x14ac:dyDescent="0.25">
      <c r="A379" s="4" t="s">
        <v>3</v>
      </c>
      <c r="B379" s="5" t="s">
        <v>1</v>
      </c>
      <c r="C379" s="18" t="s">
        <v>65</v>
      </c>
      <c r="D379" s="6" t="s">
        <v>4</v>
      </c>
    </row>
    <row r="380" spans="1:6" ht="24" customHeight="1" x14ac:dyDescent="0.25">
      <c r="A380" s="199" t="s">
        <v>252</v>
      </c>
      <c r="B380" s="175">
        <f>D201</f>
        <v>196.02961616161613</v>
      </c>
      <c r="C380" s="52">
        <v>0.4</v>
      </c>
      <c r="D380" s="172">
        <f>B380*C380</f>
        <v>78.411846464646459</v>
      </c>
    </row>
    <row r="381" spans="1:6" ht="24" customHeight="1" x14ac:dyDescent="0.25">
      <c r="A381" s="200" t="s">
        <v>251</v>
      </c>
      <c r="B381" s="175">
        <f t="shared" ref="B381:B389" si="62">D202</f>
        <v>212.53466666666665</v>
      </c>
      <c r="C381" s="52">
        <v>0.4</v>
      </c>
      <c r="D381" s="172">
        <f t="shared" ref="D381:D389" si="63">B381*C381</f>
        <v>85.013866666666672</v>
      </c>
    </row>
    <row r="382" spans="1:6" ht="24" customHeight="1" x14ac:dyDescent="0.25">
      <c r="A382" s="199" t="s">
        <v>250</v>
      </c>
      <c r="B382" s="175">
        <f t="shared" si="62"/>
        <v>258.58384444444442</v>
      </c>
      <c r="C382" s="52">
        <v>0.4</v>
      </c>
      <c r="D382" s="172">
        <f t="shared" si="63"/>
        <v>103.43353777777777</v>
      </c>
    </row>
    <row r="383" spans="1:6" ht="24" customHeight="1" x14ac:dyDescent="0.25">
      <c r="A383" s="199" t="s">
        <v>253</v>
      </c>
      <c r="B383" s="175">
        <f t="shared" si="62"/>
        <v>218.36355555555554</v>
      </c>
      <c r="C383" s="52">
        <v>0.4</v>
      </c>
      <c r="D383" s="172">
        <f t="shared" si="63"/>
        <v>87.345422222222226</v>
      </c>
    </row>
    <row r="384" spans="1:6" ht="24" customHeight="1" x14ac:dyDescent="0.25">
      <c r="A384" s="199" t="s">
        <v>254</v>
      </c>
      <c r="B384" s="175">
        <f t="shared" si="62"/>
        <v>218.36355555555554</v>
      </c>
      <c r="C384" s="52">
        <v>0.4</v>
      </c>
      <c r="D384" s="172">
        <f t="shared" si="63"/>
        <v>87.345422222222226</v>
      </c>
    </row>
    <row r="385" spans="1:4" ht="24" customHeight="1" x14ac:dyDescent="0.25">
      <c r="A385" s="199" t="s">
        <v>255</v>
      </c>
      <c r="B385" s="175">
        <f t="shared" si="62"/>
        <v>238.64017142857142</v>
      </c>
      <c r="C385" s="52">
        <v>0.4</v>
      </c>
      <c r="D385" s="172">
        <f t="shared" si="63"/>
        <v>95.456068571428574</v>
      </c>
    </row>
    <row r="386" spans="1:4" ht="24" customHeight="1" x14ac:dyDescent="0.25">
      <c r="A386" s="199" t="s">
        <v>256</v>
      </c>
      <c r="B386" s="175">
        <f t="shared" si="62"/>
        <v>218.36355555555554</v>
      </c>
      <c r="C386" s="52">
        <v>0.4</v>
      </c>
      <c r="D386" s="172">
        <f t="shared" si="63"/>
        <v>87.345422222222226</v>
      </c>
    </row>
    <row r="387" spans="1:4" ht="24" customHeight="1" x14ac:dyDescent="0.25">
      <c r="A387" s="199" t="s">
        <v>258</v>
      </c>
      <c r="B387" s="175">
        <f t="shared" si="62"/>
        <v>208.54739393939394</v>
      </c>
      <c r="C387" s="52">
        <v>0.4</v>
      </c>
      <c r="D387" s="172">
        <f t="shared" si="63"/>
        <v>83.418957575757588</v>
      </c>
    </row>
    <row r="388" spans="1:4" ht="24" customHeight="1" x14ac:dyDescent="0.25">
      <c r="A388" s="199" t="s">
        <v>260</v>
      </c>
      <c r="B388" s="175">
        <f t="shared" si="62"/>
        <v>319.84355555555555</v>
      </c>
      <c r="C388" s="52">
        <v>0.4</v>
      </c>
      <c r="D388" s="172">
        <f t="shared" si="63"/>
        <v>127.93742222222222</v>
      </c>
    </row>
    <row r="389" spans="1:4" ht="24" customHeight="1" x14ac:dyDescent="0.25">
      <c r="A389" s="199" t="s">
        <v>259</v>
      </c>
      <c r="B389" s="175">
        <f t="shared" si="62"/>
        <v>319.84355555555555</v>
      </c>
      <c r="C389" s="52">
        <v>0.4</v>
      </c>
      <c r="D389" s="172">
        <f t="shared" si="63"/>
        <v>127.93742222222222</v>
      </c>
    </row>
    <row r="390" spans="1:4" ht="24" customHeight="1" thickBot="1" x14ac:dyDescent="0.3"/>
    <row r="391" spans="1:4" ht="24" customHeight="1" thickBot="1" x14ac:dyDescent="0.3">
      <c r="A391" s="140" t="s">
        <v>66</v>
      </c>
      <c r="B391" s="141"/>
      <c r="C391" s="141"/>
      <c r="D391" s="142"/>
    </row>
    <row r="392" spans="1:4" ht="24" customHeight="1" x14ac:dyDescent="0.25">
      <c r="A392" s="4" t="s">
        <v>3</v>
      </c>
      <c r="B392" s="5" t="s">
        <v>1</v>
      </c>
      <c r="C392" s="5" t="s">
        <v>2</v>
      </c>
      <c r="D392" s="6" t="s">
        <v>4</v>
      </c>
    </row>
    <row r="393" spans="1:4" ht="24" customHeight="1" x14ac:dyDescent="0.25">
      <c r="A393" s="199" t="s">
        <v>252</v>
      </c>
      <c r="B393" s="175">
        <f>D367+D380</f>
        <v>381.68380101010098</v>
      </c>
      <c r="C393" s="54">
        <f>$B$356</f>
        <v>0.29569500000000004</v>
      </c>
      <c r="D393" s="172">
        <f>B393*C393</f>
        <v>112.86199153968182</v>
      </c>
    </row>
    <row r="394" spans="1:4" ht="24" customHeight="1" x14ac:dyDescent="0.25">
      <c r="A394" s="200" t="s">
        <v>251</v>
      </c>
      <c r="B394" s="175">
        <f>D368+D381</f>
        <v>404.90703333333329</v>
      </c>
      <c r="C394" s="54">
        <f t="shared" ref="C394:C402" si="64">$B$356</f>
        <v>0.29569500000000004</v>
      </c>
      <c r="D394" s="172">
        <f t="shared" ref="D394:D402" si="65">B394*C394</f>
        <v>119.7289852215</v>
      </c>
    </row>
    <row r="395" spans="1:4" ht="24" customHeight="1" x14ac:dyDescent="0.25">
      <c r="A395" s="199" t="s">
        <v>250</v>
      </c>
      <c r="B395" s="175">
        <f t="shared" ref="B394:B402" si="66">D369+D382</f>
        <v>475.13202944444436</v>
      </c>
      <c r="C395" s="54">
        <f t="shared" si="64"/>
        <v>0.29569500000000004</v>
      </c>
      <c r="D395" s="172">
        <f t="shared" si="65"/>
        <v>140.49416544657498</v>
      </c>
    </row>
    <row r="396" spans="1:4" ht="24" customHeight="1" x14ac:dyDescent="0.25">
      <c r="A396" s="199" t="s">
        <v>253</v>
      </c>
      <c r="B396" s="175">
        <f t="shared" si="66"/>
        <v>413.64358888888887</v>
      </c>
      <c r="C396" s="54">
        <f t="shared" si="64"/>
        <v>0.29569500000000004</v>
      </c>
      <c r="D396" s="172">
        <f t="shared" si="65"/>
        <v>122.31234101650001</v>
      </c>
    </row>
    <row r="397" spans="1:4" ht="24" customHeight="1" x14ac:dyDescent="0.25">
      <c r="A397" s="199" t="s">
        <v>254</v>
      </c>
      <c r="B397" s="175">
        <f t="shared" si="66"/>
        <v>413.64358888888887</v>
      </c>
      <c r="C397" s="54">
        <f t="shared" si="64"/>
        <v>0.29569500000000004</v>
      </c>
      <c r="D397" s="172">
        <f t="shared" si="65"/>
        <v>122.31234101650001</v>
      </c>
    </row>
    <row r="398" spans="1:4" ht="24" customHeight="1" x14ac:dyDescent="0.25">
      <c r="A398" s="199" t="s">
        <v>255</v>
      </c>
      <c r="B398" s="175">
        <f t="shared" si="66"/>
        <v>444.56542809523819</v>
      </c>
      <c r="C398" s="54">
        <f t="shared" si="64"/>
        <v>0.29569500000000004</v>
      </c>
      <c r="D398" s="172">
        <f t="shared" si="65"/>
        <v>131.45577426062147</v>
      </c>
    </row>
    <row r="399" spans="1:4" ht="24" customHeight="1" x14ac:dyDescent="0.25">
      <c r="A399" s="199" t="s">
        <v>256</v>
      </c>
      <c r="B399" s="175">
        <f t="shared" si="66"/>
        <v>414.57442222222221</v>
      </c>
      <c r="C399" s="54">
        <f t="shared" si="64"/>
        <v>0.29569500000000004</v>
      </c>
      <c r="D399" s="172">
        <f t="shared" si="65"/>
        <v>122.58758377900001</v>
      </c>
    </row>
    <row r="400" spans="1:4" ht="24" customHeight="1" x14ac:dyDescent="0.25">
      <c r="A400" s="199" t="s">
        <v>258</v>
      </c>
      <c r="B400" s="175">
        <f t="shared" si="66"/>
        <v>400.77341212121212</v>
      </c>
      <c r="C400" s="54">
        <f t="shared" si="64"/>
        <v>0.29569500000000004</v>
      </c>
      <c r="D400" s="172">
        <f t="shared" si="65"/>
        <v>118.50669409718184</v>
      </c>
    </row>
    <row r="401" spans="1:9" ht="24" customHeight="1" x14ac:dyDescent="0.25">
      <c r="A401" s="199" t="s">
        <v>260</v>
      </c>
      <c r="B401" s="175">
        <f t="shared" si="66"/>
        <v>564.02142222222221</v>
      </c>
      <c r="C401" s="54">
        <f t="shared" si="64"/>
        <v>0.29569500000000004</v>
      </c>
      <c r="D401" s="172">
        <f t="shared" si="65"/>
        <v>166.77831444400002</v>
      </c>
    </row>
    <row r="402" spans="1:9" ht="24" customHeight="1" x14ac:dyDescent="0.25">
      <c r="A402" s="199" t="s">
        <v>259</v>
      </c>
      <c r="B402" s="175">
        <f t="shared" si="66"/>
        <v>564.02142222222221</v>
      </c>
      <c r="C402" s="54">
        <f t="shared" si="64"/>
        <v>0.29569500000000004</v>
      </c>
      <c r="D402" s="172">
        <f t="shared" si="65"/>
        <v>166.77831444400002</v>
      </c>
    </row>
    <row r="403" spans="1:9" ht="24" customHeight="1" x14ac:dyDescent="0.25">
      <c r="A403" s="218"/>
    </row>
    <row r="404" spans="1:9" ht="24" customHeight="1" x14ac:dyDescent="0.25">
      <c r="A404" s="137" t="s">
        <v>67</v>
      </c>
      <c r="B404" s="138"/>
      <c r="C404" s="138"/>
      <c r="D404" s="138"/>
      <c r="E404" s="138"/>
      <c r="F404" s="138"/>
      <c r="G404" s="138"/>
      <c r="H404" s="138"/>
      <c r="I404" s="138"/>
    </row>
    <row r="405" spans="1:9" ht="88.5" customHeight="1" x14ac:dyDescent="0.25">
      <c r="A405" s="143" t="s">
        <v>242</v>
      </c>
      <c r="B405" s="143"/>
      <c r="C405" s="143"/>
      <c r="D405" s="143"/>
      <c r="E405" s="143"/>
      <c r="F405" s="143"/>
      <c r="G405" s="143"/>
      <c r="H405" s="143"/>
      <c r="I405" s="143"/>
    </row>
    <row r="406" spans="1:9" ht="16.5" thickBot="1" x14ac:dyDescent="0.3"/>
    <row r="407" spans="1:9" ht="24" customHeight="1" thickBot="1" x14ac:dyDescent="0.3">
      <c r="A407" s="140" t="s">
        <v>68</v>
      </c>
      <c r="B407" s="141"/>
      <c r="C407" s="141"/>
      <c r="D407" s="142"/>
    </row>
    <row r="408" spans="1:9" ht="33" customHeight="1" x14ac:dyDescent="0.25">
      <c r="A408" s="4" t="s">
        <v>3</v>
      </c>
      <c r="B408" s="5" t="s">
        <v>1</v>
      </c>
      <c r="C408" s="58" t="s">
        <v>132</v>
      </c>
      <c r="D408" s="6" t="s">
        <v>4</v>
      </c>
    </row>
    <row r="409" spans="1:9" ht="24" customHeight="1" x14ac:dyDescent="0.25">
      <c r="A409" s="199" t="s">
        <v>252</v>
      </c>
      <c r="B409" s="175">
        <f>G104+E339</f>
        <v>4344.9700727272721</v>
      </c>
      <c r="C409" s="51">
        <v>12</v>
      </c>
      <c r="D409" s="172">
        <f>B409/C409</f>
        <v>362.08083939393936</v>
      </c>
    </row>
    <row r="410" spans="1:9" ht="24" customHeight="1" x14ac:dyDescent="0.25">
      <c r="A410" s="200" t="s">
        <v>251</v>
      </c>
      <c r="B410" s="175">
        <f>G105+E340</f>
        <v>4603.8427999999994</v>
      </c>
      <c r="C410" s="51">
        <v>12</v>
      </c>
      <c r="D410" s="172">
        <f t="shared" ref="D410:D418" si="67">B410/C410</f>
        <v>383.65356666666662</v>
      </c>
    </row>
    <row r="411" spans="1:9" ht="24" customHeight="1" x14ac:dyDescent="0.25">
      <c r="A411" s="199" t="s">
        <v>250</v>
      </c>
      <c r="B411" s="175">
        <f>G106+E341</f>
        <v>5391.2837399999989</v>
      </c>
      <c r="C411" s="51">
        <v>12</v>
      </c>
      <c r="D411" s="172">
        <f t="shared" si="67"/>
        <v>449.27364499999993</v>
      </c>
    </row>
    <row r="412" spans="1:9" ht="24" customHeight="1" x14ac:dyDescent="0.25">
      <c r="A412" s="199" t="s">
        <v>253</v>
      </c>
      <c r="B412" s="175">
        <f>G107+E342</f>
        <v>4701.6867999999995</v>
      </c>
      <c r="C412" s="51">
        <v>12</v>
      </c>
      <c r="D412" s="172">
        <f t="shared" si="67"/>
        <v>391.80723333333327</v>
      </c>
    </row>
    <row r="413" spans="1:9" ht="24" customHeight="1" x14ac:dyDescent="0.25">
      <c r="A413" s="199" t="s">
        <v>254</v>
      </c>
      <c r="B413" s="175">
        <f>G108+E343</f>
        <v>4701.6867999999995</v>
      </c>
      <c r="C413" s="51">
        <v>12</v>
      </c>
      <c r="D413" s="172">
        <f t="shared" si="67"/>
        <v>391.80723333333327</v>
      </c>
    </row>
    <row r="414" spans="1:9" ht="24" customHeight="1" x14ac:dyDescent="0.25">
      <c r="A414" s="199" t="s">
        <v>255</v>
      </c>
      <c r="B414" s="175">
        <f>G109+E344</f>
        <v>5048.4169314285718</v>
      </c>
      <c r="C414" s="51">
        <v>12</v>
      </c>
      <c r="D414" s="172">
        <f t="shared" si="67"/>
        <v>420.70141095238097</v>
      </c>
    </row>
    <row r="415" spans="1:9" ht="24" customHeight="1" x14ac:dyDescent="0.25">
      <c r="A415" s="199" t="s">
        <v>256</v>
      </c>
      <c r="B415" s="175">
        <f>G110+E345</f>
        <v>4712.8567999999996</v>
      </c>
      <c r="C415" s="51">
        <v>12</v>
      </c>
      <c r="D415" s="172">
        <f t="shared" si="67"/>
        <v>392.73806666666661</v>
      </c>
    </row>
    <row r="416" spans="1:9" ht="24" customHeight="1" x14ac:dyDescent="0.25">
      <c r="A416" s="199" t="s">
        <v>258</v>
      </c>
      <c r="B416" s="175">
        <f>G111+E346</f>
        <v>4559.0240727272731</v>
      </c>
      <c r="C416" s="51">
        <v>12</v>
      </c>
      <c r="D416" s="172">
        <f t="shared" si="67"/>
        <v>379.91867272727274</v>
      </c>
    </row>
    <row r="417" spans="1:4" ht="24" customHeight="1" x14ac:dyDescent="0.25">
      <c r="A417" s="199" t="s">
        <v>260</v>
      </c>
      <c r="B417" s="175">
        <f>G112+E347</f>
        <v>6384.4447999999993</v>
      </c>
      <c r="C417" s="51">
        <v>12</v>
      </c>
      <c r="D417" s="172">
        <f t="shared" si="67"/>
        <v>532.03706666666665</v>
      </c>
    </row>
    <row r="418" spans="1:4" ht="15.75" x14ac:dyDescent="0.25">
      <c r="A418" s="199" t="s">
        <v>259</v>
      </c>
      <c r="B418" s="175">
        <f>G113+E348</f>
        <v>6384.4447999999993</v>
      </c>
      <c r="C418" s="51">
        <v>12</v>
      </c>
      <c r="D418" s="172">
        <f t="shared" si="67"/>
        <v>532.03706666666665</v>
      </c>
    </row>
    <row r="419" spans="1:4" ht="16.5" thickBot="1" x14ac:dyDescent="0.3">
      <c r="A419" s="218"/>
    </row>
    <row r="420" spans="1:4" ht="31.5" customHeight="1" thickBot="1" x14ac:dyDescent="0.3">
      <c r="A420" s="144" t="s">
        <v>277</v>
      </c>
      <c r="B420" s="145"/>
      <c r="C420" s="145"/>
      <c r="D420" s="146"/>
    </row>
    <row r="421" spans="1:4" ht="34.5" customHeight="1" x14ac:dyDescent="0.25">
      <c r="A421" s="4" t="s">
        <v>3</v>
      </c>
      <c r="B421" s="5" t="s">
        <v>1</v>
      </c>
      <c r="C421" s="18" t="s">
        <v>65</v>
      </c>
      <c r="D421" s="6" t="s">
        <v>4</v>
      </c>
    </row>
    <row r="422" spans="1:4" ht="24" customHeight="1" x14ac:dyDescent="0.25">
      <c r="A422" s="199" t="s">
        <v>252</v>
      </c>
      <c r="B422" s="175">
        <f>D201</f>
        <v>196.02961616161613</v>
      </c>
      <c r="C422" s="52">
        <v>0.4</v>
      </c>
      <c r="D422" s="172">
        <f>B422*C422</f>
        <v>78.411846464646459</v>
      </c>
    </row>
    <row r="423" spans="1:4" ht="24" customHeight="1" x14ac:dyDescent="0.25">
      <c r="A423" s="200" t="s">
        <v>251</v>
      </c>
      <c r="B423" s="175">
        <f t="shared" ref="B423:B431" si="68">D202</f>
        <v>212.53466666666665</v>
      </c>
      <c r="C423" s="52">
        <v>0.4</v>
      </c>
      <c r="D423" s="172">
        <f t="shared" ref="D423:D431" si="69">B423*C423</f>
        <v>85.013866666666672</v>
      </c>
    </row>
    <row r="424" spans="1:4" ht="24" customHeight="1" x14ac:dyDescent="0.25">
      <c r="A424" s="199" t="s">
        <v>250</v>
      </c>
      <c r="B424" s="175">
        <f t="shared" si="68"/>
        <v>258.58384444444442</v>
      </c>
      <c r="C424" s="52">
        <v>0.4</v>
      </c>
      <c r="D424" s="172">
        <f t="shared" si="69"/>
        <v>103.43353777777777</v>
      </c>
    </row>
    <row r="425" spans="1:4" ht="24" customHeight="1" x14ac:dyDescent="0.25">
      <c r="A425" s="199" t="s">
        <v>253</v>
      </c>
      <c r="B425" s="175">
        <f t="shared" si="68"/>
        <v>218.36355555555554</v>
      </c>
      <c r="C425" s="52">
        <v>0.4</v>
      </c>
      <c r="D425" s="172">
        <f t="shared" si="69"/>
        <v>87.345422222222226</v>
      </c>
    </row>
    <row r="426" spans="1:4" ht="24" customHeight="1" x14ac:dyDescent="0.25">
      <c r="A426" s="199" t="s">
        <v>254</v>
      </c>
      <c r="B426" s="175">
        <f t="shared" si="68"/>
        <v>218.36355555555554</v>
      </c>
      <c r="C426" s="52">
        <v>0.4</v>
      </c>
      <c r="D426" s="172">
        <f t="shared" si="69"/>
        <v>87.345422222222226</v>
      </c>
    </row>
    <row r="427" spans="1:4" ht="24" customHeight="1" x14ac:dyDescent="0.25">
      <c r="A427" s="199" t="s">
        <v>255</v>
      </c>
      <c r="B427" s="175">
        <f t="shared" si="68"/>
        <v>238.64017142857142</v>
      </c>
      <c r="C427" s="52">
        <v>0.4</v>
      </c>
      <c r="D427" s="172">
        <f t="shared" si="69"/>
        <v>95.456068571428574</v>
      </c>
    </row>
    <row r="428" spans="1:4" ht="24" customHeight="1" x14ac:dyDescent="0.25">
      <c r="A428" s="199" t="s">
        <v>256</v>
      </c>
      <c r="B428" s="175">
        <f t="shared" si="68"/>
        <v>218.36355555555554</v>
      </c>
      <c r="C428" s="52">
        <v>0.4</v>
      </c>
      <c r="D428" s="172">
        <f t="shared" si="69"/>
        <v>87.345422222222226</v>
      </c>
    </row>
    <row r="429" spans="1:4" ht="24" customHeight="1" x14ac:dyDescent="0.25">
      <c r="A429" s="199" t="s">
        <v>258</v>
      </c>
      <c r="B429" s="175">
        <f t="shared" si="68"/>
        <v>208.54739393939394</v>
      </c>
      <c r="C429" s="52">
        <v>0.4</v>
      </c>
      <c r="D429" s="172">
        <f t="shared" si="69"/>
        <v>83.418957575757588</v>
      </c>
    </row>
    <row r="430" spans="1:4" ht="24" customHeight="1" x14ac:dyDescent="0.25">
      <c r="A430" s="199" t="s">
        <v>260</v>
      </c>
      <c r="B430" s="175">
        <f t="shared" si="68"/>
        <v>319.84355555555555</v>
      </c>
      <c r="C430" s="52">
        <v>0.4</v>
      </c>
      <c r="D430" s="172">
        <f t="shared" si="69"/>
        <v>127.93742222222222</v>
      </c>
    </row>
    <row r="431" spans="1:4" ht="24" customHeight="1" x14ac:dyDescent="0.25">
      <c r="A431" s="199" t="s">
        <v>259</v>
      </c>
      <c r="B431" s="175">
        <f t="shared" si="68"/>
        <v>319.84355555555555</v>
      </c>
      <c r="C431" s="52">
        <v>0.4</v>
      </c>
      <c r="D431" s="172">
        <f t="shared" si="69"/>
        <v>127.93742222222222</v>
      </c>
    </row>
    <row r="432" spans="1:4" ht="24" customHeight="1" thickBot="1" x14ac:dyDescent="0.3"/>
    <row r="433" spans="1:9" ht="24" customHeight="1" thickBot="1" x14ac:dyDescent="0.3">
      <c r="A433" s="140" t="s">
        <v>77</v>
      </c>
      <c r="B433" s="141"/>
      <c r="C433" s="141"/>
      <c r="D433" s="142"/>
    </row>
    <row r="434" spans="1:9" ht="24" customHeight="1" x14ac:dyDescent="0.25">
      <c r="A434" s="4" t="s">
        <v>3</v>
      </c>
      <c r="B434" s="5" t="s">
        <v>1</v>
      </c>
      <c r="C434" s="5" t="s">
        <v>2</v>
      </c>
      <c r="D434" s="6" t="s">
        <v>4</v>
      </c>
    </row>
    <row r="435" spans="1:9" ht="24" customHeight="1" x14ac:dyDescent="0.25">
      <c r="A435" s="199" t="s">
        <v>252</v>
      </c>
      <c r="B435" s="175">
        <f>D409+D422</f>
        <v>440.49268585858579</v>
      </c>
      <c r="C435" s="54">
        <f>$B$357</f>
        <v>0.36140500000000003</v>
      </c>
      <c r="D435" s="172">
        <f>B435*C435</f>
        <v>159.19625913272222</v>
      </c>
    </row>
    <row r="436" spans="1:9" ht="24" customHeight="1" x14ac:dyDescent="0.25">
      <c r="A436" s="200" t="s">
        <v>251</v>
      </c>
      <c r="B436" s="175">
        <f t="shared" ref="B436:B444" si="70">D410+D423</f>
        <v>468.66743333333329</v>
      </c>
      <c r="C436" s="54">
        <f t="shared" ref="C436:C444" si="71">$B$357</f>
        <v>0.36140500000000003</v>
      </c>
      <c r="D436" s="172">
        <f t="shared" ref="D436:D443" si="72">B436*C436</f>
        <v>169.37875374383333</v>
      </c>
    </row>
    <row r="437" spans="1:9" ht="24" customHeight="1" x14ac:dyDescent="0.25">
      <c r="A437" s="199" t="s">
        <v>250</v>
      </c>
      <c r="B437" s="175">
        <f t="shared" si="70"/>
        <v>552.70718277777769</v>
      </c>
      <c r="C437" s="54">
        <f t="shared" si="71"/>
        <v>0.36140500000000003</v>
      </c>
      <c r="D437" s="172">
        <f t="shared" si="72"/>
        <v>199.75113939180275</v>
      </c>
    </row>
    <row r="438" spans="1:9" ht="24" customHeight="1" x14ac:dyDescent="0.25">
      <c r="A438" s="199" t="s">
        <v>253</v>
      </c>
      <c r="B438" s="175">
        <f t="shared" si="70"/>
        <v>479.1526555555555</v>
      </c>
      <c r="C438" s="54">
        <f t="shared" si="71"/>
        <v>0.36140500000000003</v>
      </c>
      <c r="D438" s="172">
        <f t="shared" si="72"/>
        <v>173.16816548105555</v>
      </c>
    </row>
    <row r="439" spans="1:9" ht="24" customHeight="1" x14ac:dyDescent="0.25">
      <c r="A439" s="199" t="s">
        <v>254</v>
      </c>
      <c r="B439" s="175">
        <f t="shared" si="70"/>
        <v>479.1526555555555</v>
      </c>
      <c r="C439" s="54">
        <f t="shared" si="71"/>
        <v>0.36140500000000003</v>
      </c>
      <c r="D439" s="172">
        <f t="shared" si="72"/>
        <v>173.16816548105555</v>
      </c>
    </row>
    <row r="440" spans="1:9" ht="24" customHeight="1" x14ac:dyDescent="0.25">
      <c r="A440" s="199" t="s">
        <v>255</v>
      </c>
      <c r="B440" s="175">
        <f t="shared" si="70"/>
        <v>516.15747952380957</v>
      </c>
      <c r="C440" s="54">
        <f t="shared" si="71"/>
        <v>0.36140500000000003</v>
      </c>
      <c r="D440" s="172">
        <f t="shared" si="72"/>
        <v>186.54189388730242</v>
      </c>
    </row>
    <row r="441" spans="1:9" ht="24" customHeight="1" x14ac:dyDescent="0.25">
      <c r="A441" s="199" t="s">
        <v>256</v>
      </c>
      <c r="B441" s="175">
        <f t="shared" si="70"/>
        <v>480.08348888888884</v>
      </c>
      <c r="C441" s="54">
        <f t="shared" si="71"/>
        <v>0.36140500000000003</v>
      </c>
      <c r="D441" s="172">
        <f t="shared" si="72"/>
        <v>173.50457330188888</v>
      </c>
    </row>
    <row r="442" spans="1:9" ht="24" customHeight="1" x14ac:dyDescent="0.25">
      <c r="A442" s="199" t="s">
        <v>258</v>
      </c>
      <c r="B442" s="175">
        <f t="shared" si="70"/>
        <v>463.33763030303032</v>
      </c>
      <c r="C442" s="54">
        <f t="shared" si="71"/>
        <v>0.36140500000000003</v>
      </c>
      <c r="D442" s="172">
        <f t="shared" si="72"/>
        <v>167.4525362796667</v>
      </c>
    </row>
    <row r="443" spans="1:9" ht="24" customHeight="1" x14ac:dyDescent="0.25">
      <c r="A443" s="199" t="s">
        <v>260</v>
      </c>
      <c r="B443" s="175">
        <f t="shared" si="70"/>
        <v>659.97448888888891</v>
      </c>
      <c r="C443" s="54">
        <f t="shared" si="71"/>
        <v>0.36140500000000003</v>
      </c>
      <c r="D443" s="172">
        <f t="shared" si="72"/>
        <v>238.51808015688891</v>
      </c>
    </row>
    <row r="444" spans="1:9" ht="24" customHeight="1" x14ac:dyDescent="0.25">
      <c r="A444" s="199" t="s">
        <v>259</v>
      </c>
      <c r="B444" s="175">
        <f t="shared" si="70"/>
        <v>659.97448888888891</v>
      </c>
      <c r="C444" s="54">
        <f t="shared" si="71"/>
        <v>0.36140500000000003</v>
      </c>
      <c r="D444" s="172">
        <f>B444*C444</f>
        <v>238.51808015688891</v>
      </c>
    </row>
    <row r="446" spans="1:9" ht="24" customHeight="1" x14ac:dyDescent="0.25">
      <c r="A446" s="137" t="s">
        <v>69</v>
      </c>
      <c r="B446" s="138"/>
      <c r="C446" s="138"/>
      <c r="D446" s="138"/>
      <c r="E446" s="138"/>
      <c r="F446" s="138"/>
      <c r="G446" s="138"/>
      <c r="H446" s="138"/>
      <c r="I446" s="138"/>
    </row>
    <row r="447" spans="1:9" ht="75" customHeight="1" x14ac:dyDescent="0.25">
      <c r="A447" s="147" t="s">
        <v>243</v>
      </c>
      <c r="B447" s="147"/>
      <c r="C447" s="147"/>
      <c r="D447" s="147"/>
      <c r="E447" s="147"/>
      <c r="F447" s="147"/>
      <c r="G447" s="147"/>
      <c r="H447" s="147"/>
      <c r="I447" s="147"/>
    </row>
    <row r="448" spans="1:9" ht="20.25" customHeight="1" thickBot="1" x14ac:dyDescent="0.3"/>
    <row r="449" spans="1:6" ht="24" customHeight="1" thickBot="1" x14ac:dyDescent="0.3">
      <c r="A449" s="140" t="s">
        <v>72</v>
      </c>
      <c r="B449" s="141"/>
      <c r="C449" s="141"/>
      <c r="D449" s="141"/>
      <c r="E449" s="142"/>
      <c r="F449" s="122"/>
    </row>
    <row r="450" spans="1:6" ht="46.5" customHeight="1" x14ac:dyDescent="0.25">
      <c r="A450" s="4" t="s">
        <v>3</v>
      </c>
      <c r="B450" s="58" t="s">
        <v>131</v>
      </c>
      <c r="C450" s="58" t="s">
        <v>71</v>
      </c>
      <c r="D450" s="58" t="s">
        <v>70</v>
      </c>
      <c r="E450" s="6" t="s">
        <v>4</v>
      </c>
      <c r="F450" s="122"/>
    </row>
    <row r="451" spans="1:6" ht="24" customHeight="1" x14ac:dyDescent="0.25">
      <c r="A451" s="199" t="s">
        <v>252</v>
      </c>
      <c r="B451" s="196">
        <f>-D121</f>
        <v>-170.95606060606059</v>
      </c>
      <c r="C451" s="196">
        <f>-D134</f>
        <v>-170.95606060606059</v>
      </c>
      <c r="D451" s="196">
        <f>-E147</f>
        <v>-56.985353535353525</v>
      </c>
      <c r="E451" s="197">
        <f>SUM(B451:D451)</f>
        <v>-398.89747474747469</v>
      </c>
      <c r="F451" s="223"/>
    </row>
    <row r="452" spans="1:6" ht="24" customHeight="1" x14ac:dyDescent="0.25">
      <c r="A452" s="200" t="s">
        <v>251</v>
      </c>
      <c r="B452" s="196">
        <f t="shared" ref="B452:B460" si="73">-D122</f>
        <v>-185.34999999999997</v>
      </c>
      <c r="C452" s="196">
        <f t="shared" ref="C452:C460" si="74">-D135</f>
        <v>-185.34999999999997</v>
      </c>
      <c r="D452" s="196">
        <f t="shared" ref="D452:D460" si="75">-E148</f>
        <v>-61.783333333333317</v>
      </c>
      <c r="E452" s="197">
        <f t="shared" ref="E452:E460" si="76">SUM(B452:D452)</f>
        <v>-432.48333333333323</v>
      </c>
      <c r="F452" s="223"/>
    </row>
    <row r="453" spans="1:6" ht="24" customHeight="1" x14ac:dyDescent="0.25">
      <c r="A453" s="199" t="s">
        <v>250</v>
      </c>
      <c r="B453" s="196">
        <f t="shared" si="73"/>
        <v>-225.50916666666663</v>
      </c>
      <c r="C453" s="196">
        <f t="shared" si="74"/>
        <v>-225.50916666666663</v>
      </c>
      <c r="D453" s="196">
        <f t="shared" si="75"/>
        <v>-75.169722222222205</v>
      </c>
      <c r="E453" s="197">
        <f t="shared" si="76"/>
        <v>-526.18805555555548</v>
      </c>
      <c r="F453" s="223"/>
    </row>
    <row r="454" spans="1:6" ht="24" customHeight="1" x14ac:dyDescent="0.25">
      <c r="A454" s="199" t="s">
        <v>253</v>
      </c>
      <c r="B454" s="196">
        <f t="shared" si="73"/>
        <v>-190.43333333333331</v>
      </c>
      <c r="C454" s="196">
        <f t="shared" si="74"/>
        <v>-190.43333333333331</v>
      </c>
      <c r="D454" s="196">
        <f t="shared" si="75"/>
        <v>-63.477777777777767</v>
      </c>
      <c r="E454" s="197">
        <f t="shared" si="76"/>
        <v>-444.34444444444438</v>
      </c>
      <c r="F454" s="223"/>
    </row>
    <row r="455" spans="1:6" ht="24" customHeight="1" x14ac:dyDescent="0.25">
      <c r="A455" s="199" t="s">
        <v>254</v>
      </c>
      <c r="B455" s="196">
        <f t="shared" si="73"/>
        <v>-190.43333333333331</v>
      </c>
      <c r="C455" s="196">
        <f t="shared" si="74"/>
        <v>-190.43333333333331</v>
      </c>
      <c r="D455" s="196">
        <f t="shared" si="75"/>
        <v>-63.477777777777767</v>
      </c>
      <c r="E455" s="197">
        <f t="shared" si="76"/>
        <v>-444.34444444444438</v>
      </c>
      <c r="F455" s="223"/>
    </row>
    <row r="456" spans="1:6" ht="24" customHeight="1" x14ac:dyDescent="0.25">
      <c r="A456" s="199" t="s">
        <v>255</v>
      </c>
      <c r="B456" s="196">
        <f t="shared" si="73"/>
        <v>-208.11642857142854</v>
      </c>
      <c r="C456" s="196">
        <f t="shared" si="74"/>
        <v>-208.11642857142854</v>
      </c>
      <c r="D456" s="196">
        <f t="shared" si="75"/>
        <v>-69.372142857142848</v>
      </c>
      <c r="E456" s="197">
        <f t="shared" si="76"/>
        <v>-485.6049999999999</v>
      </c>
      <c r="F456" s="223"/>
    </row>
    <row r="457" spans="1:6" ht="24" customHeight="1" x14ac:dyDescent="0.25">
      <c r="A457" s="199" t="s">
        <v>256</v>
      </c>
      <c r="B457" s="196">
        <f t="shared" si="73"/>
        <v>-190.43333333333331</v>
      </c>
      <c r="C457" s="196">
        <f t="shared" si="74"/>
        <v>-190.43333333333331</v>
      </c>
      <c r="D457" s="196">
        <f t="shared" si="75"/>
        <v>-63.477777777777767</v>
      </c>
      <c r="E457" s="197">
        <f t="shared" si="76"/>
        <v>-444.34444444444438</v>
      </c>
      <c r="F457" s="223"/>
    </row>
    <row r="458" spans="1:6" ht="24" customHeight="1" x14ac:dyDescent="0.25">
      <c r="A458" s="199" t="s">
        <v>258</v>
      </c>
      <c r="B458" s="196">
        <f t="shared" si="73"/>
        <v>-181.87272727272727</v>
      </c>
      <c r="C458" s="196">
        <f t="shared" si="74"/>
        <v>-181.87272727272727</v>
      </c>
      <c r="D458" s="196">
        <f t="shared" si="75"/>
        <v>-60.624242424242425</v>
      </c>
      <c r="E458" s="197">
        <f t="shared" si="76"/>
        <v>-424.36969696969697</v>
      </c>
      <c r="F458" s="223"/>
    </row>
    <row r="459" spans="1:6" ht="24" customHeight="1" x14ac:dyDescent="0.25">
      <c r="A459" s="199" t="s">
        <v>260</v>
      </c>
      <c r="B459" s="196">
        <f t="shared" si="73"/>
        <v>-278.93333333333328</v>
      </c>
      <c r="C459" s="196">
        <f t="shared" si="74"/>
        <v>-278.93333333333328</v>
      </c>
      <c r="D459" s="196">
        <f t="shared" si="75"/>
        <v>-92.97777777777776</v>
      </c>
      <c r="E459" s="197">
        <f t="shared" si="76"/>
        <v>-650.84444444444432</v>
      </c>
      <c r="F459" s="223"/>
    </row>
    <row r="460" spans="1:6" ht="24" customHeight="1" x14ac:dyDescent="0.25">
      <c r="A460" s="199" t="s">
        <v>259</v>
      </c>
      <c r="B460" s="196">
        <f t="shared" si="73"/>
        <v>-278.93333333333328</v>
      </c>
      <c r="C460" s="196">
        <f t="shared" si="74"/>
        <v>-278.93333333333328</v>
      </c>
      <c r="D460" s="196">
        <f t="shared" si="75"/>
        <v>-92.97777777777776</v>
      </c>
      <c r="E460" s="197">
        <f t="shared" si="76"/>
        <v>-650.84444444444432</v>
      </c>
      <c r="F460" s="223"/>
    </row>
    <row r="461" spans="1:6" ht="24" customHeight="1" thickBot="1" x14ac:dyDescent="0.3"/>
    <row r="462" spans="1:6" ht="24" customHeight="1" thickBot="1" x14ac:dyDescent="0.3">
      <c r="A462" s="140" t="s">
        <v>73</v>
      </c>
      <c r="B462" s="141"/>
      <c r="C462" s="141"/>
      <c r="D462" s="142"/>
    </row>
    <row r="463" spans="1:6" ht="24" customHeight="1" x14ac:dyDescent="0.25">
      <c r="A463" s="4" t="s">
        <v>3</v>
      </c>
      <c r="B463" s="5" t="s">
        <v>8</v>
      </c>
      <c r="C463" s="5" t="s">
        <v>2</v>
      </c>
      <c r="D463" s="6" t="s">
        <v>4</v>
      </c>
    </row>
    <row r="464" spans="1:6" ht="24" customHeight="1" x14ac:dyDescent="0.25">
      <c r="A464" s="199" t="s">
        <v>252</v>
      </c>
      <c r="B464" s="196">
        <f>E451</f>
        <v>-398.89747474747469</v>
      </c>
      <c r="C464" s="54">
        <f>$B$358</f>
        <v>0.01</v>
      </c>
      <c r="D464" s="197">
        <f>B464*C464</f>
        <v>-3.9889747474747468</v>
      </c>
    </row>
    <row r="465" spans="1:9" ht="24" customHeight="1" x14ac:dyDescent="0.25">
      <c r="A465" s="200" t="s">
        <v>251</v>
      </c>
      <c r="B465" s="196">
        <f t="shared" ref="B465:B473" si="77">E452</f>
        <v>-432.48333333333323</v>
      </c>
      <c r="C465" s="54">
        <f t="shared" ref="C465:C473" si="78">$B$358</f>
        <v>0.01</v>
      </c>
      <c r="D465" s="197">
        <f t="shared" ref="D465:D473" si="79">B465*C465</f>
        <v>-4.3248333333333324</v>
      </c>
    </row>
    <row r="466" spans="1:9" ht="24" customHeight="1" x14ac:dyDescent="0.25">
      <c r="A466" s="199" t="s">
        <v>250</v>
      </c>
      <c r="B466" s="196">
        <f t="shared" si="77"/>
        <v>-526.18805555555548</v>
      </c>
      <c r="C466" s="54">
        <f t="shared" si="78"/>
        <v>0.01</v>
      </c>
      <c r="D466" s="197">
        <f t="shared" si="79"/>
        <v>-5.261880555555555</v>
      </c>
    </row>
    <row r="467" spans="1:9" ht="24" customHeight="1" x14ac:dyDescent="0.25">
      <c r="A467" s="199" t="s">
        <v>253</v>
      </c>
      <c r="B467" s="196">
        <f t="shared" si="77"/>
        <v>-444.34444444444438</v>
      </c>
      <c r="C467" s="54">
        <f t="shared" si="78"/>
        <v>0.01</v>
      </c>
      <c r="D467" s="197">
        <f t="shared" si="79"/>
        <v>-4.4434444444444443</v>
      </c>
    </row>
    <row r="468" spans="1:9" ht="24" customHeight="1" x14ac:dyDescent="0.25">
      <c r="A468" s="199" t="s">
        <v>254</v>
      </c>
      <c r="B468" s="196">
        <f t="shared" si="77"/>
        <v>-444.34444444444438</v>
      </c>
      <c r="C468" s="54">
        <f t="shared" si="78"/>
        <v>0.01</v>
      </c>
      <c r="D468" s="197">
        <f t="shared" si="79"/>
        <v>-4.4434444444444443</v>
      </c>
    </row>
    <row r="469" spans="1:9" ht="24" customHeight="1" x14ac:dyDescent="0.25">
      <c r="A469" s="199" t="s">
        <v>255</v>
      </c>
      <c r="B469" s="196">
        <f t="shared" si="77"/>
        <v>-485.6049999999999</v>
      </c>
      <c r="C469" s="54">
        <f t="shared" si="78"/>
        <v>0.01</v>
      </c>
      <c r="D469" s="197">
        <f t="shared" si="79"/>
        <v>-4.8560499999999989</v>
      </c>
    </row>
    <row r="470" spans="1:9" ht="24" customHeight="1" x14ac:dyDescent="0.25">
      <c r="A470" s="199" t="s">
        <v>256</v>
      </c>
      <c r="B470" s="196">
        <f t="shared" si="77"/>
        <v>-444.34444444444438</v>
      </c>
      <c r="C470" s="54">
        <f t="shared" si="78"/>
        <v>0.01</v>
      </c>
      <c r="D470" s="197">
        <f t="shared" si="79"/>
        <v>-4.4434444444444443</v>
      </c>
    </row>
    <row r="471" spans="1:9" ht="24" customHeight="1" x14ac:dyDescent="0.25">
      <c r="A471" s="199" t="s">
        <v>258</v>
      </c>
      <c r="B471" s="196">
        <f t="shared" si="77"/>
        <v>-424.36969696969697</v>
      </c>
      <c r="C471" s="54">
        <f t="shared" si="78"/>
        <v>0.01</v>
      </c>
      <c r="D471" s="197">
        <f t="shared" si="79"/>
        <v>-4.2436969696969697</v>
      </c>
    </row>
    <row r="472" spans="1:9" ht="24" customHeight="1" x14ac:dyDescent="0.25">
      <c r="A472" s="199" t="s">
        <v>260</v>
      </c>
      <c r="B472" s="196">
        <f t="shared" si="77"/>
        <v>-650.84444444444432</v>
      </c>
      <c r="C472" s="54">
        <f t="shared" si="78"/>
        <v>0.01</v>
      </c>
      <c r="D472" s="197">
        <f t="shared" si="79"/>
        <v>-6.5084444444444429</v>
      </c>
    </row>
    <row r="473" spans="1:9" ht="24" customHeight="1" x14ac:dyDescent="0.25">
      <c r="A473" s="199" t="s">
        <v>259</v>
      </c>
      <c r="B473" s="196">
        <f t="shared" si="77"/>
        <v>-650.84444444444432</v>
      </c>
      <c r="C473" s="54">
        <f t="shared" si="78"/>
        <v>0.01</v>
      </c>
      <c r="D473" s="197">
        <f t="shared" si="79"/>
        <v>-6.5084444444444429</v>
      </c>
    </row>
    <row r="475" spans="1:9" ht="24" customHeight="1" x14ac:dyDescent="0.25">
      <c r="A475" s="132" t="s">
        <v>52</v>
      </c>
      <c r="B475" s="132"/>
      <c r="C475" s="132"/>
      <c r="D475" s="132"/>
      <c r="E475" s="132"/>
      <c r="F475" s="132"/>
      <c r="G475" s="132"/>
      <c r="H475" s="132"/>
      <c r="I475" s="132"/>
    </row>
    <row r="476" spans="1:9" ht="24" customHeight="1" thickBot="1" x14ac:dyDescent="0.3"/>
    <row r="477" spans="1:9" ht="24" customHeight="1" thickBot="1" x14ac:dyDescent="0.3">
      <c r="A477" s="140" t="s">
        <v>52</v>
      </c>
      <c r="B477" s="141"/>
      <c r="C477" s="141"/>
      <c r="D477" s="141"/>
      <c r="E477" s="142"/>
      <c r="F477" s="122"/>
    </row>
    <row r="478" spans="1:9" ht="24" customHeight="1" x14ac:dyDescent="0.25">
      <c r="A478" s="4" t="s">
        <v>3</v>
      </c>
      <c r="B478" s="5" t="s">
        <v>74</v>
      </c>
      <c r="C478" s="5" t="s">
        <v>75</v>
      </c>
      <c r="D478" s="5" t="s">
        <v>76</v>
      </c>
      <c r="E478" s="6" t="s">
        <v>14</v>
      </c>
      <c r="F478" s="226"/>
    </row>
    <row r="479" spans="1:9" ht="24" customHeight="1" x14ac:dyDescent="0.25">
      <c r="A479" s="199" t="s">
        <v>252</v>
      </c>
      <c r="B479" s="233">
        <f>D393</f>
        <v>112.86199153968182</v>
      </c>
      <c r="C479" s="233">
        <f>D435</f>
        <v>159.19625913272222</v>
      </c>
      <c r="D479" s="235">
        <f>D464</f>
        <v>-3.9889747474747468</v>
      </c>
      <c r="E479" s="234">
        <f>SUM(B479:D479)</f>
        <v>268.06927592492929</v>
      </c>
      <c r="F479" s="224"/>
    </row>
    <row r="480" spans="1:9" ht="24" customHeight="1" x14ac:dyDescent="0.25">
      <c r="A480" s="200" t="s">
        <v>251</v>
      </c>
      <c r="B480" s="233">
        <f t="shared" ref="B480:B488" si="80">D394</f>
        <v>119.7289852215</v>
      </c>
      <c r="C480" s="233">
        <f t="shared" ref="C480:C488" si="81">D436</f>
        <v>169.37875374383333</v>
      </c>
      <c r="D480" s="235">
        <f t="shared" ref="D480:D488" si="82">D465</f>
        <v>-4.3248333333333324</v>
      </c>
      <c r="E480" s="234">
        <f t="shared" ref="E480:E488" si="83">SUM(B480:D480)</f>
        <v>284.78290563199999</v>
      </c>
      <c r="F480" s="224"/>
    </row>
    <row r="481" spans="1:9" ht="24" customHeight="1" x14ac:dyDescent="0.25">
      <c r="A481" s="199" t="s">
        <v>250</v>
      </c>
      <c r="B481" s="233">
        <f t="shared" si="80"/>
        <v>140.49416544657498</v>
      </c>
      <c r="C481" s="233">
        <f t="shared" si="81"/>
        <v>199.75113939180275</v>
      </c>
      <c r="D481" s="235">
        <f t="shared" si="82"/>
        <v>-5.261880555555555</v>
      </c>
      <c r="E481" s="234">
        <f t="shared" si="83"/>
        <v>334.98342428282217</v>
      </c>
      <c r="F481" s="224"/>
    </row>
    <row r="482" spans="1:9" ht="24" customHeight="1" x14ac:dyDescent="0.25">
      <c r="A482" s="199" t="s">
        <v>253</v>
      </c>
      <c r="B482" s="233">
        <f t="shared" si="80"/>
        <v>122.31234101650001</v>
      </c>
      <c r="C482" s="233">
        <f t="shared" si="81"/>
        <v>173.16816548105555</v>
      </c>
      <c r="D482" s="235">
        <f t="shared" si="82"/>
        <v>-4.4434444444444443</v>
      </c>
      <c r="E482" s="234">
        <f t="shared" si="83"/>
        <v>291.03706205311113</v>
      </c>
      <c r="F482" s="224"/>
    </row>
    <row r="483" spans="1:9" ht="24" customHeight="1" x14ac:dyDescent="0.25">
      <c r="A483" s="199" t="s">
        <v>254</v>
      </c>
      <c r="B483" s="233">
        <f t="shared" si="80"/>
        <v>122.31234101650001</v>
      </c>
      <c r="C483" s="233">
        <f t="shared" si="81"/>
        <v>173.16816548105555</v>
      </c>
      <c r="D483" s="235">
        <f t="shared" si="82"/>
        <v>-4.4434444444444443</v>
      </c>
      <c r="E483" s="234">
        <f t="shared" si="83"/>
        <v>291.03706205311113</v>
      </c>
      <c r="F483" s="224"/>
    </row>
    <row r="484" spans="1:9" ht="24" customHeight="1" x14ac:dyDescent="0.25">
      <c r="A484" s="199" t="s">
        <v>255</v>
      </c>
      <c r="B484" s="233">
        <f t="shared" si="80"/>
        <v>131.45577426062147</v>
      </c>
      <c r="C484" s="233">
        <f t="shared" si="81"/>
        <v>186.54189388730242</v>
      </c>
      <c r="D484" s="235">
        <f t="shared" si="82"/>
        <v>-4.8560499999999989</v>
      </c>
      <c r="E484" s="234">
        <f t="shared" si="83"/>
        <v>313.14161814792391</v>
      </c>
      <c r="F484" s="224"/>
    </row>
    <row r="485" spans="1:9" ht="24" customHeight="1" x14ac:dyDescent="0.25">
      <c r="A485" s="199" t="s">
        <v>256</v>
      </c>
      <c r="B485" s="233">
        <f t="shared" si="80"/>
        <v>122.58758377900001</v>
      </c>
      <c r="C485" s="233">
        <f t="shared" si="81"/>
        <v>173.50457330188888</v>
      </c>
      <c r="D485" s="235">
        <f t="shared" si="82"/>
        <v>-4.4434444444444443</v>
      </c>
      <c r="E485" s="234">
        <f t="shared" si="83"/>
        <v>291.64871263644449</v>
      </c>
      <c r="F485" s="224"/>
    </row>
    <row r="486" spans="1:9" ht="24" customHeight="1" x14ac:dyDescent="0.25">
      <c r="A486" s="199" t="s">
        <v>258</v>
      </c>
      <c r="B486" s="233">
        <f t="shared" si="80"/>
        <v>118.50669409718184</v>
      </c>
      <c r="C486" s="233">
        <f t="shared" si="81"/>
        <v>167.4525362796667</v>
      </c>
      <c r="D486" s="235">
        <f t="shared" si="82"/>
        <v>-4.2436969696969697</v>
      </c>
      <c r="E486" s="234">
        <f t="shared" si="83"/>
        <v>281.71553340715161</v>
      </c>
      <c r="F486" s="224"/>
    </row>
    <row r="487" spans="1:9" ht="24" customHeight="1" x14ac:dyDescent="0.25">
      <c r="A487" s="199" t="s">
        <v>260</v>
      </c>
      <c r="B487" s="233">
        <f t="shared" si="80"/>
        <v>166.77831444400002</v>
      </c>
      <c r="C487" s="233">
        <f t="shared" si="81"/>
        <v>238.51808015688891</v>
      </c>
      <c r="D487" s="235">
        <f t="shared" si="82"/>
        <v>-6.5084444444444429</v>
      </c>
      <c r="E487" s="234">
        <f t="shared" si="83"/>
        <v>398.78795015644448</v>
      </c>
      <c r="F487" s="224"/>
    </row>
    <row r="488" spans="1:9" ht="24" customHeight="1" x14ac:dyDescent="0.25">
      <c r="A488" s="199" t="s">
        <v>259</v>
      </c>
      <c r="B488" s="233">
        <f t="shared" si="80"/>
        <v>166.77831444400002</v>
      </c>
      <c r="C488" s="233">
        <f t="shared" si="81"/>
        <v>238.51808015688891</v>
      </c>
      <c r="D488" s="235">
        <f t="shared" si="82"/>
        <v>-6.5084444444444429</v>
      </c>
      <c r="E488" s="234">
        <f t="shared" si="83"/>
        <v>398.78795015644448</v>
      </c>
      <c r="F488" s="224"/>
    </row>
    <row r="490" spans="1:9" ht="24" customHeight="1" x14ac:dyDescent="0.25">
      <c r="A490" s="132" t="s">
        <v>78</v>
      </c>
      <c r="B490" s="132"/>
      <c r="C490" s="132"/>
      <c r="D490" s="132"/>
      <c r="E490" s="132"/>
      <c r="F490" s="132"/>
      <c r="G490" s="132"/>
      <c r="H490" s="132"/>
      <c r="I490" s="132"/>
    </row>
    <row r="491" spans="1:9" ht="123.75" customHeight="1" x14ac:dyDescent="0.25">
      <c r="A491" s="143" t="s">
        <v>230</v>
      </c>
      <c r="B491" s="143"/>
      <c r="C491" s="143"/>
      <c r="D491" s="143"/>
      <c r="E491" s="143"/>
      <c r="F491" s="143"/>
      <c r="G491" s="143"/>
      <c r="H491" s="143"/>
      <c r="I491" s="143"/>
    </row>
    <row r="492" spans="1:9" ht="24" customHeight="1" thickBot="1" x14ac:dyDescent="0.3"/>
    <row r="493" spans="1:9" ht="24" customHeight="1" x14ac:dyDescent="0.25">
      <c r="A493" s="241" t="s">
        <v>146</v>
      </c>
      <c r="B493" s="242"/>
      <c r="C493" s="242"/>
      <c r="D493" s="242"/>
      <c r="E493" s="242"/>
      <c r="F493" s="242"/>
      <c r="G493" s="243"/>
      <c r="H493" s="237"/>
    </row>
    <row r="494" spans="1:9" ht="16.5" customHeight="1" x14ac:dyDescent="0.25">
      <c r="A494" s="244" t="s">
        <v>82</v>
      </c>
      <c r="B494" s="236"/>
      <c r="C494" s="236"/>
      <c r="D494" s="236"/>
      <c r="E494" s="236"/>
      <c r="F494" s="236"/>
      <c r="G494" s="245"/>
      <c r="H494" s="237"/>
    </row>
    <row r="495" spans="1:9" ht="24" customHeight="1" x14ac:dyDescent="0.25">
      <c r="A495" s="244" t="s">
        <v>3</v>
      </c>
      <c r="B495" s="236" t="s">
        <v>83</v>
      </c>
      <c r="C495" s="236" t="s">
        <v>84</v>
      </c>
      <c r="D495" s="198" t="s">
        <v>85</v>
      </c>
      <c r="E495" s="198"/>
      <c r="F495" s="198" t="s">
        <v>278</v>
      </c>
      <c r="G495" s="246"/>
    </row>
    <row r="496" spans="1:9" ht="31.5" customHeight="1" x14ac:dyDescent="0.25">
      <c r="A496" s="244"/>
      <c r="B496" s="236"/>
      <c r="C496" s="236"/>
      <c r="D496" s="198" t="s">
        <v>86</v>
      </c>
      <c r="E496" s="198" t="s">
        <v>87</v>
      </c>
      <c r="F496" s="198" t="s">
        <v>86</v>
      </c>
      <c r="G496" s="246" t="s">
        <v>87</v>
      </c>
    </row>
    <row r="497" spans="1:7" ht="24" customHeight="1" x14ac:dyDescent="0.25">
      <c r="A497" s="14" t="s">
        <v>18</v>
      </c>
      <c r="B497" s="48">
        <v>1</v>
      </c>
      <c r="C497" s="168">
        <v>30</v>
      </c>
      <c r="D497" s="238">
        <v>0.5</v>
      </c>
      <c r="E497" s="239">
        <f>(B497*C497)*D497</f>
        <v>15</v>
      </c>
      <c r="F497" s="240">
        <f>255/365</f>
        <v>0.69863013698630139</v>
      </c>
      <c r="G497" s="30">
        <f>(B497*C497)*F497</f>
        <v>20.958904109589042</v>
      </c>
    </row>
    <row r="498" spans="1:7" ht="24" customHeight="1" x14ac:dyDescent="0.25">
      <c r="A498" s="14" t="s">
        <v>88</v>
      </c>
      <c r="B498" s="48">
        <v>1</v>
      </c>
      <c r="C498" s="168">
        <v>1</v>
      </c>
      <c r="D498" s="238">
        <v>1</v>
      </c>
      <c r="E498" s="239">
        <f t="shared" ref="E498:E508" si="84">(B498*C498)*D498</f>
        <v>1</v>
      </c>
      <c r="F498" s="240">
        <v>1</v>
      </c>
      <c r="G498" s="30">
        <f>(B498*C498)*F498</f>
        <v>1</v>
      </c>
    </row>
    <row r="499" spans="1:7" ht="24" customHeight="1" x14ac:dyDescent="0.25">
      <c r="A499" s="14" t="s">
        <v>89</v>
      </c>
      <c r="B499" s="48">
        <v>9.2200000000000004E-2</v>
      </c>
      <c r="C499" s="168">
        <v>15</v>
      </c>
      <c r="D499" s="238">
        <v>0.5</v>
      </c>
      <c r="E499" s="239">
        <f t="shared" si="84"/>
        <v>0.6915</v>
      </c>
      <c r="F499" s="240">
        <f>255/365</f>
        <v>0.69863013698630139</v>
      </c>
      <c r="G499" s="30">
        <f>(B499*C499)*F499</f>
        <v>0.96620547945205482</v>
      </c>
    </row>
    <row r="500" spans="1:7" ht="24" customHeight="1" x14ac:dyDescent="0.25">
      <c r="A500" s="14" t="s">
        <v>90</v>
      </c>
      <c r="B500" s="48">
        <v>1</v>
      </c>
      <c r="C500" s="168">
        <v>5</v>
      </c>
      <c r="D500" s="238">
        <v>0.5</v>
      </c>
      <c r="E500" s="239">
        <f t="shared" si="84"/>
        <v>2.5</v>
      </c>
      <c r="F500" s="240">
        <f>255/365</f>
        <v>0.69863013698630139</v>
      </c>
      <c r="G500" s="30">
        <f>(B500*C500)*F500</f>
        <v>3.493150684931507</v>
      </c>
    </row>
    <row r="501" spans="1:7" ht="24" customHeight="1" x14ac:dyDescent="0.25">
      <c r="A501" s="14" t="s">
        <v>91</v>
      </c>
      <c r="B501" s="48">
        <v>0.13439999999999999</v>
      </c>
      <c r="C501" s="168">
        <v>2</v>
      </c>
      <c r="D501" s="238">
        <v>1</v>
      </c>
      <c r="E501" s="239">
        <f t="shared" si="84"/>
        <v>0.26879999999999998</v>
      </c>
      <c r="F501" s="240">
        <v>1</v>
      </c>
      <c r="G501" s="30">
        <f>(B501*C501)*F501</f>
        <v>0.26879999999999998</v>
      </c>
    </row>
    <row r="502" spans="1:7" ht="24" customHeight="1" x14ac:dyDescent="0.25">
      <c r="A502" s="14" t="s">
        <v>92</v>
      </c>
      <c r="B502" s="48">
        <v>3.0499999999999999E-2</v>
      </c>
      <c r="C502" s="168">
        <v>2</v>
      </c>
      <c r="D502" s="238">
        <v>0.5</v>
      </c>
      <c r="E502" s="239">
        <f t="shared" si="84"/>
        <v>3.0499999999999999E-2</v>
      </c>
      <c r="F502" s="240">
        <f>255/365</f>
        <v>0.69863013698630139</v>
      </c>
      <c r="G502" s="30">
        <f>(B502*C502)*F502</f>
        <v>4.2616438356164382E-2</v>
      </c>
    </row>
    <row r="503" spans="1:7" ht="24" customHeight="1" x14ac:dyDescent="0.25">
      <c r="A503" s="14" t="s">
        <v>93</v>
      </c>
      <c r="B503" s="48">
        <v>1.18E-2</v>
      </c>
      <c r="C503" s="168">
        <v>3</v>
      </c>
      <c r="D503" s="238">
        <v>0.5</v>
      </c>
      <c r="E503" s="239">
        <f t="shared" si="84"/>
        <v>1.77E-2</v>
      </c>
      <c r="F503" s="240">
        <v>1</v>
      </c>
      <c r="G503" s="30">
        <f>(B503*C503)*F503</f>
        <v>3.5400000000000001E-2</v>
      </c>
    </row>
    <row r="504" spans="1:7" ht="24" customHeight="1" x14ac:dyDescent="0.25">
      <c r="A504" s="14" t="s">
        <v>94</v>
      </c>
      <c r="B504" s="48">
        <v>0.02</v>
      </c>
      <c r="C504" s="168">
        <v>1</v>
      </c>
      <c r="D504" s="238">
        <v>1</v>
      </c>
      <c r="E504" s="239">
        <f t="shared" si="84"/>
        <v>0.02</v>
      </c>
      <c r="F504" s="240">
        <v>1</v>
      </c>
      <c r="G504" s="30">
        <f>(B504*C504)*F504</f>
        <v>0.02</v>
      </c>
    </row>
    <row r="505" spans="1:7" ht="24" customHeight="1" x14ac:dyDescent="0.25">
      <c r="A505" s="14" t="s">
        <v>95</v>
      </c>
      <c r="B505" s="48">
        <v>4.0000000000000001E-3</v>
      </c>
      <c r="C505" s="168">
        <v>1</v>
      </c>
      <c r="D505" s="238">
        <v>1</v>
      </c>
      <c r="E505" s="239">
        <f t="shared" si="84"/>
        <v>4.0000000000000001E-3</v>
      </c>
      <c r="F505" s="240">
        <v>1</v>
      </c>
      <c r="G505" s="30">
        <f>(B505*C505)*F505</f>
        <v>4.0000000000000001E-3</v>
      </c>
    </row>
    <row r="506" spans="1:7" ht="24" customHeight="1" x14ac:dyDescent="0.25">
      <c r="A506" s="14" t="s">
        <v>96</v>
      </c>
      <c r="B506" s="48">
        <v>1.43E-2</v>
      </c>
      <c r="C506" s="168">
        <v>20</v>
      </c>
      <c r="D506" s="238">
        <v>0.5</v>
      </c>
      <c r="E506" s="239">
        <f t="shared" si="84"/>
        <v>0.14300000000000002</v>
      </c>
      <c r="F506" s="240">
        <f>255/365</f>
        <v>0.69863013698630139</v>
      </c>
      <c r="G506" s="30">
        <f>(B506*C506)*F506</f>
        <v>0.19980821917808222</v>
      </c>
    </row>
    <row r="507" spans="1:7" ht="24" customHeight="1" x14ac:dyDescent="0.25">
      <c r="A507" s="14" t="s">
        <v>97</v>
      </c>
      <c r="B507" s="48">
        <v>1.9699999999999999E-2</v>
      </c>
      <c r="C507" s="168">
        <v>180</v>
      </c>
      <c r="D507" s="238">
        <v>0.5</v>
      </c>
      <c r="E507" s="239">
        <f t="shared" si="84"/>
        <v>1.7729999999999999</v>
      </c>
      <c r="F507" s="240">
        <f>255/365</f>
        <v>0.69863013698630139</v>
      </c>
      <c r="G507" s="30">
        <f>(B507*C507)*F507</f>
        <v>2.4773424657534244</v>
      </c>
    </row>
    <row r="508" spans="1:7" ht="24" customHeight="1" thickBot="1" x14ac:dyDescent="0.3">
      <c r="A508" s="31" t="s">
        <v>98</v>
      </c>
      <c r="B508" s="49">
        <v>1.6000000000000001E-3</v>
      </c>
      <c r="C508" s="247">
        <v>6</v>
      </c>
      <c r="D508" s="248">
        <v>1</v>
      </c>
      <c r="E508" s="249">
        <f t="shared" si="84"/>
        <v>9.6000000000000009E-3</v>
      </c>
      <c r="F508" s="250">
        <v>1</v>
      </c>
      <c r="G508" s="30">
        <f>(B508*C508)*F508</f>
        <v>9.6000000000000009E-3</v>
      </c>
    </row>
    <row r="509" spans="1:7" ht="34.5" customHeight="1" x14ac:dyDescent="0.25">
      <c r="A509" s="251" t="s">
        <v>280</v>
      </c>
      <c r="B509" s="251"/>
      <c r="C509" s="251"/>
      <c r="D509" s="251"/>
      <c r="E509" s="251"/>
      <c r="F509" s="251"/>
      <c r="G509" s="251"/>
    </row>
    <row r="510" spans="1:7" ht="24" customHeight="1" thickBot="1" x14ac:dyDescent="0.3"/>
    <row r="511" spans="1:7" ht="24" customHeight="1" thickBot="1" x14ac:dyDescent="0.3">
      <c r="A511" s="144" t="s">
        <v>103</v>
      </c>
      <c r="B511" s="145"/>
      <c r="C511" s="145"/>
      <c r="D511" s="146"/>
    </row>
    <row r="512" spans="1:7" ht="24" customHeight="1" thickBot="1" x14ac:dyDescent="0.3">
      <c r="A512" s="154" t="s">
        <v>99</v>
      </c>
      <c r="B512" s="136" t="s">
        <v>281</v>
      </c>
      <c r="C512" s="152"/>
      <c r="D512" s="153"/>
    </row>
    <row r="513" spans="1:9" ht="26.25" customHeight="1" thickBot="1" x14ac:dyDescent="0.3">
      <c r="A513" s="155"/>
      <c r="B513" s="37" t="s">
        <v>100</v>
      </c>
      <c r="C513" s="36" t="s">
        <v>101</v>
      </c>
      <c r="D513" s="38" t="s">
        <v>279</v>
      </c>
    </row>
    <row r="514" spans="1:9" ht="24" customHeight="1" x14ac:dyDescent="0.25">
      <c r="A514" s="27" t="s">
        <v>18</v>
      </c>
      <c r="B514" s="28">
        <f>E497</f>
        <v>15</v>
      </c>
      <c r="C514" s="28">
        <f>E497</f>
        <v>15</v>
      </c>
      <c r="D514" s="32">
        <f>G497</f>
        <v>20.958904109589042</v>
      </c>
    </row>
    <row r="515" spans="1:9" ht="24" customHeight="1" x14ac:dyDescent="0.25">
      <c r="A515" s="14" t="s">
        <v>88</v>
      </c>
      <c r="B515" s="29">
        <f>E498</f>
        <v>1</v>
      </c>
      <c r="C515" s="29">
        <f>E498</f>
        <v>1</v>
      </c>
      <c r="D515" s="33">
        <f>G498</f>
        <v>1</v>
      </c>
    </row>
    <row r="516" spans="1:9" ht="24" customHeight="1" x14ac:dyDescent="0.25">
      <c r="A516" s="14" t="s">
        <v>89</v>
      </c>
      <c r="B516" s="29">
        <f>E499</f>
        <v>0.6915</v>
      </c>
      <c r="C516" s="29">
        <f>E499</f>
        <v>0.6915</v>
      </c>
      <c r="D516" s="33">
        <f>G499</f>
        <v>0.96620547945205482</v>
      </c>
    </row>
    <row r="517" spans="1:9" ht="24" customHeight="1" x14ac:dyDescent="0.25">
      <c r="A517" s="14" t="s">
        <v>90</v>
      </c>
      <c r="B517" s="29">
        <f>E500</f>
        <v>2.5</v>
      </c>
      <c r="C517" s="29">
        <f>E500</f>
        <v>2.5</v>
      </c>
      <c r="D517" s="33">
        <f>G500</f>
        <v>3.493150684931507</v>
      </c>
    </row>
    <row r="518" spans="1:9" ht="24" customHeight="1" x14ac:dyDescent="0.25">
      <c r="A518" s="14" t="s">
        <v>91</v>
      </c>
      <c r="B518" s="29">
        <f>E501</f>
        <v>0.26879999999999998</v>
      </c>
      <c r="C518" s="29">
        <f>E501</f>
        <v>0.26879999999999998</v>
      </c>
      <c r="D518" s="33">
        <f>G501</f>
        <v>0.26879999999999998</v>
      </c>
    </row>
    <row r="519" spans="1:9" ht="24" customHeight="1" x14ac:dyDescent="0.25">
      <c r="A519" s="14" t="s">
        <v>92</v>
      </c>
      <c r="B519" s="29">
        <f>E502</f>
        <v>3.0499999999999999E-2</v>
      </c>
      <c r="C519" s="29">
        <f>E502</f>
        <v>3.0499999999999999E-2</v>
      </c>
      <c r="D519" s="33">
        <f>G502</f>
        <v>4.2616438356164382E-2</v>
      </c>
    </row>
    <row r="520" spans="1:9" ht="24" customHeight="1" x14ac:dyDescent="0.25">
      <c r="A520" s="14" t="s">
        <v>93</v>
      </c>
      <c r="B520" s="29">
        <f>E503</f>
        <v>1.77E-2</v>
      </c>
      <c r="C520" s="29">
        <f>E503</f>
        <v>1.77E-2</v>
      </c>
      <c r="D520" s="33">
        <f>G503</f>
        <v>3.5400000000000001E-2</v>
      </c>
    </row>
    <row r="521" spans="1:9" ht="24" customHeight="1" x14ac:dyDescent="0.25">
      <c r="A521" s="14" t="s">
        <v>94</v>
      </c>
      <c r="B521" s="29">
        <f>E504</f>
        <v>0.02</v>
      </c>
      <c r="C521" s="29">
        <f>E504</f>
        <v>0.02</v>
      </c>
      <c r="D521" s="33">
        <f>G504</f>
        <v>0.02</v>
      </c>
    </row>
    <row r="522" spans="1:9" ht="24" customHeight="1" x14ac:dyDescent="0.25">
      <c r="A522" s="14" t="s">
        <v>95</v>
      </c>
      <c r="B522" s="29">
        <f>E505</f>
        <v>4.0000000000000001E-3</v>
      </c>
      <c r="C522" s="29">
        <f>E505</f>
        <v>4.0000000000000001E-3</v>
      </c>
      <c r="D522" s="33">
        <f>G505</f>
        <v>4.0000000000000001E-3</v>
      </c>
    </row>
    <row r="523" spans="1:9" ht="24" customHeight="1" x14ac:dyDescent="0.25">
      <c r="A523" s="14" t="s">
        <v>96</v>
      </c>
      <c r="B523" s="29">
        <f>E506</f>
        <v>0.14300000000000002</v>
      </c>
      <c r="C523" s="29">
        <f>E506</f>
        <v>0.14300000000000002</v>
      </c>
      <c r="D523" s="33">
        <f>G506</f>
        <v>0.19980821917808222</v>
      </c>
    </row>
    <row r="524" spans="1:9" ht="24" customHeight="1" x14ac:dyDescent="0.25">
      <c r="A524" s="14" t="s">
        <v>97</v>
      </c>
      <c r="B524" s="29">
        <f>E507</f>
        <v>1.7729999999999999</v>
      </c>
      <c r="C524" s="29">
        <f>E507</f>
        <v>1.7729999999999999</v>
      </c>
      <c r="D524" s="33">
        <f>G507</f>
        <v>2.4773424657534244</v>
      </c>
    </row>
    <row r="525" spans="1:9" ht="24" customHeight="1" thickBot="1" x14ac:dyDescent="0.3">
      <c r="A525" s="15" t="s">
        <v>98</v>
      </c>
      <c r="B525" s="34">
        <f>E508</f>
        <v>9.6000000000000009E-3</v>
      </c>
      <c r="C525" s="34">
        <f>E508</f>
        <v>9.6000000000000009E-3</v>
      </c>
      <c r="D525" s="35">
        <f>G508</f>
        <v>9.6000000000000009E-3</v>
      </c>
    </row>
    <row r="526" spans="1:9" ht="24" customHeight="1" thickBot="1" x14ac:dyDescent="0.3">
      <c r="A526" s="37" t="s">
        <v>102</v>
      </c>
      <c r="B526" s="39">
        <f>SUM(B514:B525)</f>
        <v>21.458100000000002</v>
      </c>
      <c r="C526" s="39">
        <f>SUM(C514:C525)</f>
        <v>21.458100000000002</v>
      </c>
      <c r="D526" s="40">
        <f>SUM(D514:D525)</f>
        <v>29.475827397260268</v>
      </c>
      <c r="I526" s="62"/>
    </row>
    <row r="528" spans="1:9" ht="24" customHeight="1" x14ac:dyDescent="0.25">
      <c r="A528" s="137" t="s">
        <v>107</v>
      </c>
      <c r="B528" s="138"/>
      <c r="C528" s="138"/>
      <c r="D528" s="138"/>
      <c r="E528" s="138"/>
      <c r="F528" s="138"/>
      <c r="G528" s="138"/>
      <c r="H528" s="138"/>
      <c r="I528" s="138"/>
    </row>
    <row r="529" spans="1:9" ht="78" customHeight="1" thickBot="1" x14ac:dyDescent="0.3">
      <c r="A529" s="143" t="s">
        <v>244</v>
      </c>
      <c r="B529" s="143"/>
      <c r="C529" s="143"/>
      <c r="D529" s="143"/>
      <c r="E529" s="143"/>
      <c r="F529" s="143"/>
      <c r="G529" s="143"/>
      <c r="H529" s="143"/>
      <c r="I529" s="143"/>
    </row>
    <row r="530" spans="1:9" ht="24" customHeight="1" thickBot="1" x14ac:dyDescent="0.3">
      <c r="A530" s="140" t="s">
        <v>81</v>
      </c>
      <c r="B530" s="141"/>
      <c r="C530" s="141"/>
      <c r="D530" s="142"/>
    </row>
    <row r="531" spans="1:9" ht="24" customHeight="1" x14ac:dyDescent="0.25">
      <c r="A531" s="4" t="s">
        <v>3</v>
      </c>
      <c r="B531" s="5" t="s">
        <v>1</v>
      </c>
      <c r="C531" s="5" t="s">
        <v>80</v>
      </c>
      <c r="D531" s="6" t="s">
        <v>79</v>
      </c>
    </row>
    <row r="532" spans="1:9" ht="24" customHeight="1" x14ac:dyDescent="0.25">
      <c r="A532" s="68" t="s">
        <v>252</v>
      </c>
      <c r="B532" s="175">
        <f>G104+E339+E479</f>
        <v>4613.0393486522016</v>
      </c>
      <c r="C532" s="11">
        <v>30</v>
      </c>
      <c r="D532" s="227">
        <f>B532/C532</f>
        <v>153.76797828840671</v>
      </c>
    </row>
    <row r="533" spans="1:9" ht="24" customHeight="1" x14ac:dyDescent="0.25">
      <c r="A533" s="252" t="s">
        <v>251</v>
      </c>
      <c r="B533" s="175">
        <f>G105+E340+E480</f>
        <v>4888.6257056319992</v>
      </c>
      <c r="C533" s="11">
        <v>30</v>
      </c>
      <c r="D533" s="227">
        <f t="shared" ref="D533:D541" si="85">B533/C533</f>
        <v>162.9541901877333</v>
      </c>
    </row>
    <row r="534" spans="1:9" ht="24" customHeight="1" x14ac:dyDescent="0.25">
      <c r="A534" s="68" t="s">
        <v>250</v>
      </c>
      <c r="B534" s="175">
        <f>G106+E341+E481</f>
        <v>5726.2671642828209</v>
      </c>
      <c r="C534" s="11">
        <v>30</v>
      </c>
      <c r="D534" s="227">
        <f t="shared" si="85"/>
        <v>190.87557214276069</v>
      </c>
    </row>
    <row r="535" spans="1:9" ht="24" customHeight="1" x14ac:dyDescent="0.25">
      <c r="A535" s="68" t="s">
        <v>253</v>
      </c>
      <c r="B535" s="175">
        <f>G107+E342+E482</f>
        <v>4992.7238620531107</v>
      </c>
      <c r="C535" s="11">
        <v>30</v>
      </c>
      <c r="D535" s="227">
        <f t="shared" si="85"/>
        <v>166.42412873510369</v>
      </c>
    </row>
    <row r="536" spans="1:9" ht="24" customHeight="1" x14ac:dyDescent="0.25">
      <c r="A536" s="68" t="s">
        <v>254</v>
      </c>
      <c r="B536" s="175">
        <f>G108+E343+E483</f>
        <v>4992.7238620531107</v>
      </c>
      <c r="C536" s="11">
        <v>30</v>
      </c>
      <c r="D536" s="227">
        <f t="shared" si="85"/>
        <v>166.42412873510369</v>
      </c>
    </row>
    <row r="537" spans="1:9" ht="24" customHeight="1" x14ac:dyDescent="0.25">
      <c r="A537" s="68" t="s">
        <v>255</v>
      </c>
      <c r="B537" s="175">
        <f>G109+E344+E484</f>
        <v>5361.5585495764954</v>
      </c>
      <c r="C537" s="11">
        <v>30</v>
      </c>
      <c r="D537" s="227">
        <f t="shared" si="85"/>
        <v>178.71861831921652</v>
      </c>
    </row>
    <row r="538" spans="1:9" ht="24" customHeight="1" x14ac:dyDescent="0.25">
      <c r="A538" s="68" t="s">
        <v>256</v>
      </c>
      <c r="B538" s="175">
        <f>G110+E345+E485</f>
        <v>5004.5055126364441</v>
      </c>
      <c r="C538" s="11">
        <v>30</v>
      </c>
      <c r="D538" s="227">
        <f t="shared" si="85"/>
        <v>166.81685042121481</v>
      </c>
    </row>
    <row r="539" spans="1:9" ht="24" customHeight="1" x14ac:dyDescent="0.25">
      <c r="A539" s="68" t="s">
        <v>258</v>
      </c>
      <c r="B539" s="175">
        <f>G111+E346+E486</f>
        <v>4840.7396061344243</v>
      </c>
      <c r="C539" s="11">
        <v>30</v>
      </c>
      <c r="D539" s="227">
        <f t="shared" si="85"/>
        <v>161.35798687114749</v>
      </c>
    </row>
    <row r="540" spans="1:9" ht="24" customHeight="1" x14ac:dyDescent="0.25">
      <c r="A540" s="68" t="s">
        <v>260</v>
      </c>
      <c r="B540" s="175">
        <f>G112+E347+E487</f>
        <v>6783.2327501564441</v>
      </c>
      <c r="C540" s="11">
        <v>30</v>
      </c>
      <c r="D540" s="227">
        <f t="shared" si="85"/>
        <v>226.10775833854814</v>
      </c>
    </row>
    <row r="541" spans="1:9" ht="24" customHeight="1" thickBot="1" x14ac:dyDescent="0.3">
      <c r="A541" s="69" t="s">
        <v>259</v>
      </c>
      <c r="B541" s="213">
        <f>G113+E348+E488</f>
        <v>6783.2327501564441</v>
      </c>
      <c r="C541" s="12">
        <v>30</v>
      </c>
      <c r="D541" s="228">
        <f t="shared" si="85"/>
        <v>226.10775833854814</v>
      </c>
    </row>
    <row r="542" spans="1:9" ht="16.5" thickBot="1" x14ac:dyDescent="0.3"/>
    <row r="543" spans="1:9" ht="24" customHeight="1" thickBot="1" x14ac:dyDescent="0.3">
      <c r="A543" s="144" t="s">
        <v>107</v>
      </c>
      <c r="B543" s="145"/>
      <c r="C543" s="145"/>
      <c r="D543" s="145"/>
      <c r="E543" s="146"/>
      <c r="F543" s="253"/>
    </row>
    <row r="544" spans="1:9" ht="33.75" customHeight="1" x14ac:dyDescent="0.25">
      <c r="A544" s="4" t="s">
        <v>3</v>
      </c>
      <c r="B544" s="5" t="s">
        <v>79</v>
      </c>
      <c r="C544" s="7" t="s">
        <v>104</v>
      </c>
      <c r="D544" s="5" t="s">
        <v>105</v>
      </c>
      <c r="E544" s="6" t="s">
        <v>106</v>
      </c>
      <c r="F544" s="226"/>
    </row>
    <row r="545" spans="1:9" ht="24" customHeight="1" x14ac:dyDescent="0.25">
      <c r="A545" s="199" t="s">
        <v>252</v>
      </c>
      <c r="B545" s="175">
        <f>D532</f>
        <v>153.76797828840671</v>
      </c>
      <c r="C545" s="41">
        <f>D526</f>
        <v>29.475827397260268</v>
      </c>
      <c r="D545" s="175">
        <f>B545*C545</f>
        <v>4532.4383872547405</v>
      </c>
      <c r="E545" s="172">
        <f>D545/12</f>
        <v>377.70319893789502</v>
      </c>
      <c r="F545" s="190"/>
    </row>
    <row r="546" spans="1:9" ht="24" customHeight="1" x14ac:dyDescent="0.25">
      <c r="A546" s="200" t="s">
        <v>251</v>
      </c>
      <c r="B546" s="175">
        <f t="shared" ref="B546:B554" si="86">D533</f>
        <v>162.9541901877333</v>
      </c>
      <c r="C546" s="41">
        <f>B526</f>
        <v>21.458100000000002</v>
      </c>
      <c r="D546" s="175">
        <f t="shared" ref="D546:D554" si="87">B546*C546</f>
        <v>3496.6873084674003</v>
      </c>
      <c r="E546" s="172">
        <f t="shared" ref="E546:E554" si="88">D546/12</f>
        <v>291.39060903895</v>
      </c>
      <c r="F546" s="190"/>
    </row>
    <row r="547" spans="1:9" ht="24" customHeight="1" x14ac:dyDescent="0.25">
      <c r="A547" s="199" t="s">
        <v>250</v>
      </c>
      <c r="B547" s="175">
        <f t="shared" si="86"/>
        <v>190.87557214276069</v>
      </c>
      <c r="C547" s="41">
        <f>C526</f>
        <v>21.458100000000002</v>
      </c>
      <c r="D547" s="175">
        <f t="shared" si="87"/>
        <v>4095.8271145965737</v>
      </c>
      <c r="E547" s="172">
        <f t="shared" si="88"/>
        <v>341.31892621638116</v>
      </c>
      <c r="F547" s="190"/>
    </row>
    <row r="548" spans="1:9" ht="24" customHeight="1" x14ac:dyDescent="0.25">
      <c r="A548" s="199" t="s">
        <v>253</v>
      </c>
      <c r="B548" s="175">
        <f t="shared" si="86"/>
        <v>166.42412873510369</v>
      </c>
      <c r="C548" s="41">
        <f>C546</f>
        <v>21.458100000000002</v>
      </c>
      <c r="D548" s="175">
        <f t="shared" si="87"/>
        <v>3571.1455968107289</v>
      </c>
      <c r="E548" s="172">
        <f t="shared" si="88"/>
        <v>297.59546640089405</v>
      </c>
      <c r="F548" s="190"/>
    </row>
    <row r="549" spans="1:9" ht="24" customHeight="1" x14ac:dyDescent="0.25">
      <c r="A549" s="199" t="s">
        <v>254</v>
      </c>
      <c r="B549" s="175">
        <f t="shared" si="86"/>
        <v>166.42412873510369</v>
      </c>
      <c r="C549" s="41">
        <f>C546</f>
        <v>21.458100000000002</v>
      </c>
      <c r="D549" s="175">
        <f t="shared" si="87"/>
        <v>3571.1455968107289</v>
      </c>
      <c r="E549" s="172">
        <f t="shared" si="88"/>
        <v>297.59546640089405</v>
      </c>
      <c r="F549" s="190"/>
    </row>
    <row r="550" spans="1:9" ht="24" customHeight="1" x14ac:dyDescent="0.25">
      <c r="A550" s="199" t="s">
        <v>255</v>
      </c>
      <c r="B550" s="175">
        <f t="shared" si="86"/>
        <v>178.71861831921652</v>
      </c>
      <c r="C550" s="41">
        <f>C526</f>
        <v>21.458100000000002</v>
      </c>
      <c r="D550" s="175">
        <f t="shared" si="87"/>
        <v>3834.9619837555801</v>
      </c>
      <c r="E550" s="172">
        <f t="shared" si="88"/>
        <v>319.58016531296499</v>
      </c>
      <c r="F550" s="190"/>
    </row>
    <row r="551" spans="1:9" ht="24" customHeight="1" x14ac:dyDescent="0.25">
      <c r="A551" s="199" t="s">
        <v>256</v>
      </c>
      <c r="B551" s="175">
        <f t="shared" si="86"/>
        <v>166.81685042121481</v>
      </c>
      <c r="C551" s="41">
        <f>C545</f>
        <v>29.475827397260268</v>
      </c>
      <c r="D551" s="175">
        <f t="shared" si="87"/>
        <v>4917.0646899703115</v>
      </c>
      <c r="E551" s="172">
        <f t="shared" si="88"/>
        <v>409.75539083085931</v>
      </c>
      <c r="F551" s="190"/>
    </row>
    <row r="552" spans="1:9" ht="24" customHeight="1" x14ac:dyDescent="0.25">
      <c r="A552" s="199" t="s">
        <v>258</v>
      </c>
      <c r="B552" s="175">
        <f t="shared" si="86"/>
        <v>161.35798687114749</v>
      </c>
      <c r="C552" s="41">
        <f>C545</f>
        <v>29.475827397260268</v>
      </c>
      <c r="D552" s="175">
        <f t="shared" si="87"/>
        <v>4756.1601701833315</v>
      </c>
      <c r="E552" s="172">
        <f t="shared" si="88"/>
        <v>396.34668084861096</v>
      </c>
      <c r="F552" s="190"/>
    </row>
    <row r="553" spans="1:9" ht="24" customHeight="1" x14ac:dyDescent="0.25">
      <c r="A553" s="199" t="s">
        <v>260</v>
      </c>
      <c r="B553" s="175">
        <f t="shared" si="86"/>
        <v>226.10775833854814</v>
      </c>
      <c r="C553" s="41">
        <f>C545</f>
        <v>29.475827397260268</v>
      </c>
      <c r="D553" s="175">
        <f t="shared" si="87"/>
        <v>6664.7132579684812</v>
      </c>
      <c r="E553" s="172">
        <f t="shared" si="88"/>
        <v>555.39277149737347</v>
      </c>
      <c r="F553" s="190"/>
    </row>
    <row r="554" spans="1:9" ht="24" customHeight="1" x14ac:dyDescent="0.25">
      <c r="A554" s="199" t="s">
        <v>259</v>
      </c>
      <c r="B554" s="175">
        <f t="shared" si="86"/>
        <v>226.10775833854814</v>
      </c>
      <c r="C554" s="41">
        <f>C545</f>
        <v>29.475827397260268</v>
      </c>
      <c r="D554" s="175">
        <f t="shared" si="87"/>
        <v>6664.7132579684812</v>
      </c>
      <c r="E554" s="172">
        <f t="shared" si="88"/>
        <v>555.39277149737347</v>
      </c>
      <c r="F554" s="190"/>
    </row>
    <row r="556" spans="1:9" ht="24" customHeight="1" x14ac:dyDescent="0.25">
      <c r="A556" s="137" t="s">
        <v>108</v>
      </c>
      <c r="B556" s="138"/>
      <c r="C556" s="138"/>
      <c r="D556" s="138"/>
      <c r="E556" s="138"/>
      <c r="F556" s="138"/>
      <c r="G556" s="138"/>
      <c r="H556" s="138"/>
      <c r="I556" s="138"/>
    </row>
    <row r="557" spans="1:9" ht="119.25" customHeight="1" x14ac:dyDescent="0.25">
      <c r="A557" s="143" t="s">
        <v>236</v>
      </c>
      <c r="B557" s="143"/>
      <c r="C557" s="143"/>
      <c r="D557" s="143"/>
      <c r="E557" s="143"/>
      <c r="F557" s="143"/>
      <c r="G557" s="143"/>
      <c r="H557" s="143"/>
      <c r="I557" s="143"/>
    </row>
    <row r="558" spans="1:9" ht="22.5" customHeight="1" thickBot="1" x14ac:dyDescent="0.3"/>
    <row r="559" spans="1:9" ht="22.5" customHeight="1" thickBot="1" x14ac:dyDescent="0.3">
      <c r="A559" s="140" t="s">
        <v>110</v>
      </c>
      <c r="B559" s="141"/>
      <c r="C559" s="141"/>
      <c r="D559" s="142"/>
      <c r="E559" s="254" t="s">
        <v>282</v>
      </c>
      <c r="F559" s="255"/>
      <c r="G559" s="255"/>
      <c r="H559" s="255"/>
      <c r="I559" s="255"/>
    </row>
    <row r="560" spans="1:9" ht="22.5" customHeight="1" thickBot="1" x14ac:dyDescent="0.3">
      <c r="A560" s="4" t="s">
        <v>3</v>
      </c>
      <c r="B560" s="5" t="s">
        <v>1</v>
      </c>
      <c r="C560" s="5" t="s">
        <v>109</v>
      </c>
      <c r="D560" s="6" t="s">
        <v>4</v>
      </c>
      <c r="E560" s="254"/>
      <c r="F560" s="255"/>
      <c r="G560" s="255"/>
      <c r="H560" s="255"/>
      <c r="I560" s="255"/>
    </row>
    <row r="561" spans="1:9" ht="22.5" customHeight="1" thickBot="1" x14ac:dyDescent="0.3">
      <c r="A561" s="199" t="s">
        <v>252</v>
      </c>
      <c r="B561" s="257">
        <v>0</v>
      </c>
      <c r="C561" s="256">
        <v>1</v>
      </c>
      <c r="D561" s="258">
        <f>B561/C561</f>
        <v>0</v>
      </c>
      <c r="E561" s="254"/>
      <c r="F561" s="255"/>
      <c r="G561" s="255"/>
      <c r="H561" s="255"/>
      <c r="I561" s="255"/>
    </row>
    <row r="562" spans="1:9" ht="22.5" customHeight="1" thickBot="1" x14ac:dyDescent="0.3">
      <c r="A562" s="200" t="s">
        <v>251</v>
      </c>
      <c r="B562" s="257">
        <v>0</v>
      </c>
      <c r="C562" s="256">
        <v>1</v>
      </c>
      <c r="D562" s="258">
        <f t="shared" ref="D562:D570" si="89">B562/C562</f>
        <v>0</v>
      </c>
    </row>
    <row r="563" spans="1:9" ht="22.5" customHeight="1" thickBot="1" x14ac:dyDescent="0.3">
      <c r="A563" s="199" t="s">
        <v>250</v>
      </c>
      <c r="B563" s="257">
        <v>0</v>
      </c>
      <c r="C563" s="256">
        <v>1</v>
      </c>
      <c r="D563" s="258">
        <f t="shared" si="89"/>
        <v>0</v>
      </c>
    </row>
    <row r="564" spans="1:9" ht="22.5" customHeight="1" thickBot="1" x14ac:dyDescent="0.3">
      <c r="A564" s="199" t="s">
        <v>253</v>
      </c>
      <c r="B564" s="257">
        <v>0</v>
      </c>
      <c r="C564" s="256">
        <v>1</v>
      </c>
      <c r="D564" s="258">
        <f t="shared" si="89"/>
        <v>0</v>
      </c>
    </row>
    <row r="565" spans="1:9" ht="22.5" customHeight="1" thickBot="1" x14ac:dyDescent="0.3">
      <c r="A565" s="199" t="s">
        <v>254</v>
      </c>
      <c r="B565" s="257">
        <v>0</v>
      </c>
      <c r="C565" s="256">
        <v>1</v>
      </c>
      <c r="D565" s="258">
        <f t="shared" si="89"/>
        <v>0</v>
      </c>
    </row>
    <row r="566" spans="1:9" ht="22.5" customHeight="1" thickBot="1" x14ac:dyDescent="0.3">
      <c r="A566" s="199" t="s">
        <v>255</v>
      </c>
      <c r="B566" s="257">
        <v>0</v>
      </c>
      <c r="C566" s="256">
        <v>1</v>
      </c>
      <c r="D566" s="258">
        <f t="shared" si="89"/>
        <v>0</v>
      </c>
    </row>
    <row r="567" spans="1:9" ht="22.5" customHeight="1" thickBot="1" x14ac:dyDescent="0.3">
      <c r="A567" s="199" t="s">
        <v>256</v>
      </c>
      <c r="B567" s="257">
        <v>0</v>
      </c>
      <c r="C567" s="256">
        <v>1</v>
      </c>
      <c r="D567" s="258">
        <f t="shared" si="89"/>
        <v>0</v>
      </c>
    </row>
    <row r="568" spans="1:9" ht="22.5" customHeight="1" thickBot="1" x14ac:dyDescent="0.3">
      <c r="A568" s="199" t="s">
        <v>258</v>
      </c>
      <c r="B568" s="257">
        <v>0</v>
      </c>
      <c r="C568" s="256">
        <v>1</v>
      </c>
      <c r="D568" s="258">
        <f t="shared" si="89"/>
        <v>0</v>
      </c>
    </row>
    <row r="569" spans="1:9" ht="22.5" customHeight="1" thickBot="1" x14ac:dyDescent="0.3">
      <c r="A569" s="199" t="s">
        <v>260</v>
      </c>
      <c r="B569" s="257">
        <v>0</v>
      </c>
      <c r="C569" s="256">
        <v>1</v>
      </c>
      <c r="D569" s="258">
        <f t="shared" si="89"/>
        <v>0</v>
      </c>
    </row>
    <row r="570" spans="1:9" ht="24" customHeight="1" x14ac:dyDescent="0.25">
      <c r="A570" s="199" t="s">
        <v>259</v>
      </c>
      <c r="B570" s="257">
        <v>0</v>
      </c>
      <c r="C570" s="256">
        <v>1</v>
      </c>
      <c r="D570" s="258">
        <f t="shared" si="89"/>
        <v>0</v>
      </c>
    </row>
    <row r="571" spans="1:9" ht="16.5" thickBot="1" x14ac:dyDescent="0.3"/>
    <row r="572" spans="1:9" ht="24" customHeight="1" thickBot="1" x14ac:dyDescent="0.3">
      <c r="A572" s="140" t="s">
        <v>108</v>
      </c>
      <c r="B572" s="141"/>
      <c r="C572" s="141"/>
      <c r="D572" s="142"/>
    </row>
    <row r="573" spans="1:9" ht="30" customHeight="1" thickBot="1" x14ac:dyDescent="0.3">
      <c r="A573" s="21" t="s">
        <v>3</v>
      </c>
      <c r="B573" s="22" t="s">
        <v>111</v>
      </c>
      <c r="C573" s="36" t="s">
        <v>112</v>
      </c>
      <c r="D573" s="23" t="s">
        <v>4</v>
      </c>
    </row>
    <row r="574" spans="1:9" ht="24" customHeight="1" thickBot="1" x14ac:dyDescent="0.3">
      <c r="A574" s="199" t="s">
        <v>252</v>
      </c>
      <c r="B574" s="203">
        <f>D561</f>
        <v>0</v>
      </c>
      <c r="C574" s="50">
        <v>0</v>
      </c>
      <c r="D574" s="204">
        <f>B574*C574</f>
        <v>0</v>
      </c>
    </row>
    <row r="575" spans="1:9" ht="24" customHeight="1" thickBot="1" x14ac:dyDescent="0.3">
      <c r="A575" s="200" t="s">
        <v>251</v>
      </c>
      <c r="B575" s="203">
        <f t="shared" ref="B575:B583" si="90">D562</f>
        <v>0</v>
      </c>
      <c r="C575" s="50">
        <v>0</v>
      </c>
      <c r="D575" s="204">
        <f t="shared" ref="D575:D583" si="91">B575*C575</f>
        <v>0</v>
      </c>
    </row>
    <row r="576" spans="1:9" ht="24" customHeight="1" thickBot="1" x14ac:dyDescent="0.3">
      <c r="A576" s="199" t="s">
        <v>250</v>
      </c>
      <c r="B576" s="203">
        <f t="shared" si="90"/>
        <v>0</v>
      </c>
      <c r="C576" s="50">
        <v>0</v>
      </c>
      <c r="D576" s="204">
        <f t="shared" si="91"/>
        <v>0</v>
      </c>
    </row>
    <row r="577" spans="1:9" ht="24" customHeight="1" thickBot="1" x14ac:dyDescent="0.3">
      <c r="A577" s="199" t="s">
        <v>253</v>
      </c>
      <c r="B577" s="203">
        <f t="shared" si="90"/>
        <v>0</v>
      </c>
      <c r="C577" s="50">
        <v>0</v>
      </c>
      <c r="D577" s="204">
        <f t="shared" si="91"/>
        <v>0</v>
      </c>
    </row>
    <row r="578" spans="1:9" ht="24" customHeight="1" thickBot="1" x14ac:dyDescent="0.3">
      <c r="A578" s="199" t="s">
        <v>254</v>
      </c>
      <c r="B578" s="203">
        <f t="shared" si="90"/>
        <v>0</v>
      </c>
      <c r="C578" s="50">
        <v>0</v>
      </c>
      <c r="D578" s="204">
        <f t="shared" si="91"/>
        <v>0</v>
      </c>
    </row>
    <row r="579" spans="1:9" ht="24" customHeight="1" thickBot="1" x14ac:dyDescent="0.3">
      <c r="A579" s="199" t="s">
        <v>255</v>
      </c>
      <c r="B579" s="203">
        <f t="shared" si="90"/>
        <v>0</v>
      </c>
      <c r="C579" s="50">
        <v>0</v>
      </c>
      <c r="D579" s="204">
        <f t="shared" si="91"/>
        <v>0</v>
      </c>
    </row>
    <row r="580" spans="1:9" ht="24" customHeight="1" thickBot="1" x14ac:dyDescent="0.3">
      <c r="A580" s="199" t="s">
        <v>256</v>
      </c>
      <c r="B580" s="203">
        <f t="shared" si="90"/>
        <v>0</v>
      </c>
      <c r="C580" s="50">
        <v>0</v>
      </c>
      <c r="D580" s="204">
        <f t="shared" si="91"/>
        <v>0</v>
      </c>
    </row>
    <row r="581" spans="1:9" ht="24" customHeight="1" thickBot="1" x14ac:dyDescent="0.3">
      <c r="A581" s="199" t="s">
        <v>258</v>
      </c>
      <c r="B581" s="203">
        <f t="shared" si="90"/>
        <v>0</v>
      </c>
      <c r="C581" s="50">
        <v>0</v>
      </c>
      <c r="D581" s="204">
        <f t="shared" si="91"/>
        <v>0</v>
      </c>
    </row>
    <row r="582" spans="1:9" ht="24" customHeight="1" thickBot="1" x14ac:dyDescent="0.3">
      <c r="A582" s="199" t="s">
        <v>260</v>
      </c>
      <c r="B582" s="203">
        <f t="shared" si="90"/>
        <v>0</v>
      </c>
      <c r="C582" s="50">
        <v>0</v>
      </c>
      <c r="D582" s="204">
        <f t="shared" si="91"/>
        <v>0</v>
      </c>
    </row>
    <row r="583" spans="1:9" ht="24" customHeight="1" x14ac:dyDescent="0.25">
      <c r="A583" s="199" t="s">
        <v>259</v>
      </c>
      <c r="B583" s="203">
        <f t="shared" si="90"/>
        <v>0</v>
      </c>
      <c r="C583" s="50">
        <v>0</v>
      </c>
      <c r="D583" s="204">
        <f t="shared" si="91"/>
        <v>0</v>
      </c>
    </row>
    <row r="585" spans="1:9" ht="24" customHeight="1" x14ac:dyDescent="0.25">
      <c r="A585" s="132" t="s">
        <v>78</v>
      </c>
      <c r="B585" s="132"/>
      <c r="C585" s="132"/>
      <c r="D585" s="132"/>
      <c r="E585" s="132"/>
      <c r="F585" s="132"/>
      <c r="G585" s="132"/>
      <c r="H585" s="132"/>
      <c r="I585" s="132"/>
    </row>
    <row r="586" spans="1:9" ht="24" customHeight="1" thickBot="1" x14ac:dyDescent="0.3"/>
    <row r="587" spans="1:9" ht="24" customHeight="1" thickBot="1" x14ac:dyDescent="0.3">
      <c r="A587" s="140" t="s">
        <v>78</v>
      </c>
      <c r="B587" s="141"/>
      <c r="C587" s="141"/>
      <c r="D587" s="142"/>
    </row>
    <row r="588" spans="1:9" ht="24" customHeight="1" thickBot="1" x14ac:dyDescent="0.3">
      <c r="A588" s="4" t="s">
        <v>3</v>
      </c>
      <c r="B588" s="5" t="s">
        <v>113</v>
      </c>
      <c r="C588" s="5" t="s">
        <v>114</v>
      </c>
      <c r="D588" s="6" t="s">
        <v>14</v>
      </c>
    </row>
    <row r="589" spans="1:9" ht="24" customHeight="1" thickBot="1" x14ac:dyDescent="0.3">
      <c r="A589" s="199" t="s">
        <v>252</v>
      </c>
      <c r="B589" s="203">
        <f>E545</f>
        <v>377.70319893789502</v>
      </c>
      <c r="C589" s="203">
        <f>D574</f>
        <v>0</v>
      </c>
      <c r="D589" s="204">
        <f>B589+C589</f>
        <v>377.70319893789502</v>
      </c>
    </row>
    <row r="590" spans="1:9" ht="24" customHeight="1" thickBot="1" x14ac:dyDescent="0.3">
      <c r="A590" s="200" t="s">
        <v>251</v>
      </c>
      <c r="B590" s="203">
        <f t="shared" ref="B590:B598" si="92">E546</f>
        <v>291.39060903895</v>
      </c>
      <c r="C590" s="203">
        <f t="shared" ref="C590:C598" si="93">D575</f>
        <v>0</v>
      </c>
      <c r="D590" s="204">
        <f t="shared" ref="D590:D598" si="94">B590+C590</f>
        <v>291.39060903895</v>
      </c>
    </row>
    <row r="591" spans="1:9" ht="24" customHeight="1" thickBot="1" x14ac:dyDescent="0.3">
      <c r="A591" s="199" t="s">
        <v>250</v>
      </c>
      <c r="B591" s="203">
        <f t="shared" si="92"/>
        <v>341.31892621638116</v>
      </c>
      <c r="C591" s="203">
        <f t="shared" si="93"/>
        <v>0</v>
      </c>
      <c r="D591" s="204">
        <f t="shared" si="94"/>
        <v>341.31892621638116</v>
      </c>
    </row>
    <row r="592" spans="1:9" ht="24" customHeight="1" thickBot="1" x14ac:dyDescent="0.3">
      <c r="A592" s="199" t="s">
        <v>253</v>
      </c>
      <c r="B592" s="203">
        <f t="shared" si="92"/>
        <v>297.59546640089405</v>
      </c>
      <c r="C592" s="203">
        <f t="shared" si="93"/>
        <v>0</v>
      </c>
      <c r="D592" s="204">
        <f t="shared" si="94"/>
        <v>297.59546640089405</v>
      </c>
      <c r="E592" s="254" t="s">
        <v>282</v>
      </c>
      <c r="F592" s="255"/>
      <c r="G592" s="255"/>
      <c r="H592" s="255"/>
      <c r="I592" s="255"/>
    </row>
    <row r="593" spans="1:9" ht="24" customHeight="1" thickBot="1" x14ac:dyDescent="0.3">
      <c r="A593" s="199" t="s">
        <v>254</v>
      </c>
      <c r="B593" s="203">
        <f t="shared" si="92"/>
        <v>297.59546640089405</v>
      </c>
      <c r="C593" s="203">
        <f t="shared" si="93"/>
        <v>0</v>
      </c>
      <c r="D593" s="204">
        <f t="shared" si="94"/>
        <v>297.59546640089405</v>
      </c>
      <c r="E593" s="254"/>
      <c r="F593" s="255"/>
      <c r="G593" s="255"/>
      <c r="H593" s="255"/>
      <c r="I593" s="255"/>
    </row>
    <row r="594" spans="1:9" ht="24" customHeight="1" thickBot="1" x14ac:dyDescent="0.3">
      <c r="A594" s="199" t="s">
        <v>255</v>
      </c>
      <c r="B594" s="203">
        <f t="shared" si="92"/>
        <v>319.58016531296499</v>
      </c>
      <c r="C594" s="203">
        <f t="shared" si="93"/>
        <v>0</v>
      </c>
      <c r="D594" s="204">
        <f t="shared" si="94"/>
        <v>319.58016531296499</v>
      </c>
      <c r="E594" s="254"/>
      <c r="F594" s="255"/>
      <c r="G594" s="255"/>
      <c r="H594" s="255"/>
      <c r="I594" s="255"/>
    </row>
    <row r="595" spans="1:9" ht="24" customHeight="1" thickBot="1" x14ac:dyDescent="0.3">
      <c r="A595" s="199" t="s">
        <v>256</v>
      </c>
      <c r="B595" s="203">
        <f t="shared" si="92"/>
        <v>409.75539083085931</v>
      </c>
      <c r="C595" s="203">
        <f t="shared" si="93"/>
        <v>0</v>
      </c>
      <c r="D595" s="204">
        <f t="shared" si="94"/>
        <v>409.75539083085931</v>
      </c>
      <c r="E595" s="254"/>
      <c r="F595" s="255"/>
      <c r="G595" s="255"/>
      <c r="H595" s="255"/>
      <c r="I595" s="255"/>
    </row>
    <row r="596" spans="1:9" ht="24" customHeight="1" thickBot="1" x14ac:dyDescent="0.3">
      <c r="A596" s="199" t="s">
        <v>258</v>
      </c>
      <c r="B596" s="203">
        <f t="shared" si="92"/>
        <v>396.34668084861096</v>
      </c>
      <c r="C596" s="203">
        <f t="shared" si="93"/>
        <v>0</v>
      </c>
      <c r="D596" s="204">
        <f t="shared" si="94"/>
        <v>396.34668084861096</v>
      </c>
      <c r="E596" s="254"/>
      <c r="F596" s="255"/>
      <c r="G596" s="255"/>
      <c r="H596" s="255"/>
      <c r="I596" s="255"/>
    </row>
    <row r="597" spans="1:9" ht="24" customHeight="1" thickBot="1" x14ac:dyDescent="0.3">
      <c r="A597" s="199" t="s">
        <v>260</v>
      </c>
      <c r="B597" s="203">
        <f t="shared" si="92"/>
        <v>555.39277149737347</v>
      </c>
      <c r="C597" s="203">
        <f t="shared" si="93"/>
        <v>0</v>
      </c>
      <c r="D597" s="204">
        <f t="shared" si="94"/>
        <v>555.39277149737347</v>
      </c>
    </row>
    <row r="598" spans="1:9" ht="24" customHeight="1" x14ac:dyDescent="0.25">
      <c r="A598" s="199" t="s">
        <v>259</v>
      </c>
      <c r="B598" s="203">
        <f t="shared" si="92"/>
        <v>555.39277149737347</v>
      </c>
      <c r="C598" s="203">
        <f t="shared" si="93"/>
        <v>0</v>
      </c>
      <c r="D598" s="204">
        <f t="shared" si="94"/>
        <v>555.39277149737347</v>
      </c>
    </row>
    <row r="600" spans="1:9" ht="24" customHeight="1" x14ac:dyDescent="0.25">
      <c r="A600" s="132" t="s">
        <v>115</v>
      </c>
      <c r="B600" s="132"/>
      <c r="C600" s="132"/>
      <c r="D600" s="132"/>
      <c r="E600" s="132"/>
      <c r="F600" s="132"/>
      <c r="G600" s="132"/>
      <c r="H600" s="132"/>
      <c r="I600" s="132"/>
    </row>
    <row r="601" spans="1:9" ht="24" customHeight="1" thickBot="1" x14ac:dyDescent="0.3">
      <c r="A601" s="63"/>
      <c r="B601" s="63"/>
      <c r="C601" s="63"/>
      <c r="E601" s="63"/>
      <c r="F601" s="118"/>
    </row>
    <row r="602" spans="1:9" ht="24" customHeight="1" thickBot="1" x14ac:dyDescent="0.3">
      <c r="A602" s="126" t="s">
        <v>153</v>
      </c>
      <c r="B602" s="127"/>
      <c r="C602" s="127"/>
      <c r="D602" s="128"/>
      <c r="E602" s="71"/>
      <c r="F602" s="71"/>
    </row>
    <row r="603" spans="1:9" ht="39" customHeight="1" thickBot="1" x14ac:dyDescent="0.3">
      <c r="A603" s="72" t="s">
        <v>287</v>
      </c>
      <c r="B603" s="73" t="s">
        <v>288</v>
      </c>
      <c r="C603" s="73" t="s">
        <v>289</v>
      </c>
      <c r="D603" s="114" t="s">
        <v>290</v>
      </c>
      <c r="E603" s="51" t="s">
        <v>283</v>
      </c>
      <c r="F603" s="262">
        <v>26.3</v>
      </c>
      <c r="G603" s="264" t="s">
        <v>285</v>
      </c>
      <c r="H603" s="264"/>
      <c r="I603" s="260"/>
    </row>
    <row r="604" spans="1:9" ht="16.5" thickBot="1" x14ac:dyDescent="0.3">
      <c r="A604" s="199" t="str">
        <f>E603</f>
        <v>Camisa/Camiseta</v>
      </c>
      <c r="B604" s="74">
        <v>3</v>
      </c>
      <c r="C604" s="268">
        <f>F603</f>
        <v>26.3</v>
      </c>
      <c r="D604" s="269">
        <f>C604*B604</f>
        <v>78.900000000000006</v>
      </c>
      <c r="E604" s="51" t="s">
        <v>154</v>
      </c>
      <c r="F604" s="262">
        <v>52.89</v>
      </c>
      <c r="G604" s="264"/>
      <c r="H604" s="264"/>
      <c r="I604" s="260"/>
    </row>
    <row r="605" spans="1:9" ht="16.5" thickBot="1" x14ac:dyDescent="0.3">
      <c r="A605" s="200" t="str">
        <f>E604</f>
        <v>Calça</v>
      </c>
      <c r="B605" s="75">
        <v>3</v>
      </c>
      <c r="C605" s="270">
        <f>F604</f>
        <v>52.89</v>
      </c>
      <c r="D605" s="269">
        <f>C605*B605</f>
        <v>158.67000000000002</v>
      </c>
      <c r="E605" s="51" t="s">
        <v>284</v>
      </c>
      <c r="F605" s="263">
        <f>SUM(F603:F604)</f>
        <v>79.19</v>
      </c>
      <c r="G605" s="264"/>
      <c r="H605" s="264"/>
      <c r="I605" s="260"/>
    </row>
    <row r="606" spans="1:9" ht="26.25" customHeight="1" thickBot="1" x14ac:dyDescent="0.3">
      <c r="A606" s="126" t="s">
        <v>155</v>
      </c>
      <c r="B606" s="127"/>
      <c r="C606" s="128"/>
      <c r="D606" s="271">
        <f>SUM(D604:D605)</f>
        <v>237.57000000000002</v>
      </c>
      <c r="G606" s="264"/>
      <c r="H606" s="264"/>
      <c r="I606" s="260"/>
    </row>
    <row r="607" spans="1:9" ht="26.25" customHeight="1" x14ac:dyDescent="0.25">
      <c r="A607" s="78"/>
      <c r="B607" s="78"/>
      <c r="C607" s="78"/>
      <c r="D607" s="267"/>
      <c r="G607" s="264"/>
      <c r="H607" s="264"/>
      <c r="I607" s="260"/>
    </row>
    <row r="608" spans="1:9" ht="24" customHeight="1" thickBot="1" x14ac:dyDescent="0.3">
      <c r="A608" s="76"/>
      <c r="B608" s="77"/>
      <c r="C608" s="77"/>
      <c r="D608" s="77"/>
      <c r="G608" s="264"/>
      <c r="H608" s="264"/>
      <c r="I608" s="260"/>
    </row>
    <row r="609" spans="1:10" ht="29.25" customHeight="1" thickBot="1" x14ac:dyDescent="0.3">
      <c r="A609" s="126" t="s">
        <v>156</v>
      </c>
      <c r="B609" s="127"/>
      <c r="C609" s="128"/>
      <c r="D609" s="78"/>
      <c r="E609" s="78"/>
      <c r="F609" s="78"/>
      <c r="G609" s="266" t="s">
        <v>286</v>
      </c>
      <c r="H609" s="266"/>
      <c r="I609" s="260"/>
    </row>
    <row r="610" spans="1:10" ht="27" customHeight="1" x14ac:dyDescent="0.25">
      <c r="A610" s="79" t="s">
        <v>3</v>
      </c>
      <c r="B610" s="80" t="s">
        <v>105</v>
      </c>
      <c r="C610" s="81" t="s">
        <v>157</v>
      </c>
      <c r="D610" s="78"/>
      <c r="E610" s="78"/>
      <c r="F610" s="78"/>
      <c r="G610" s="266"/>
      <c r="H610" s="266"/>
      <c r="I610" s="260"/>
    </row>
    <row r="611" spans="1:10" ht="24" customHeight="1" x14ac:dyDescent="0.25">
      <c r="A611" s="199" t="s">
        <v>252</v>
      </c>
      <c r="B611" s="270">
        <f>$D$606</f>
        <v>237.57000000000002</v>
      </c>
      <c r="C611" s="272">
        <f>B611/12</f>
        <v>19.797500000000003</v>
      </c>
      <c r="D611" s="77"/>
      <c r="E611" s="82"/>
      <c r="F611" s="82"/>
      <c r="G611" s="266"/>
      <c r="H611" s="266"/>
      <c r="I611" s="260"/>
    </row>
    <row r="612" spans="1:10" ht="24" customHeight="1" x14ac:dyDescent="0.25">
      <c r="A612" s="200" t="s">
        <v>251</v>
      </c>
      <c r="B612" s="270">
        <f t="shared" ref="B612:B620" si="95">$D$606</f>
        <v>237.57000000000002</v>
      </c>
      <c r="C612" s="272">
        <f t="shared" ref="C612:C620" si="96">B612/12</f>
        <v>19.797500000000003</v>
      </c>
      <c r="D612" s="77"/>
      <c r="E612" s="82"/>
      <c r="F612" s="82"/>
      <c r="G612" s="266"/>
      <c r="H612" s="266"/>
      <c r="I612" s="260"/>
    </row>
    <row r="613" spans="1:10" ht="24" customHeight="1" x14ac:dyDescent="0.25">
      <c r="A613" s="199" t="s">
        <v>250</v>
      </c>
      <c r="B613" s="270">
        <f t="shared" si="95"/>
        <v>237.57000000000002</v>
      </c>
      <c r="C613" s="272">
        <f t="shared" si="96"/>
        <v>19.797500000000003</v>
      </c>
      <c r="D613" s="77"/>
      <c r="E613" s="82"/>
      <c r="F613" s="82"/>
      <c r="G613" s="266"/>
      <c r="H613" s="266"/>
      <c r="I613" s="260"/>
    </row>
    <row r="614" spans="1:10" ht="24" customHeight="1" x14ac:dyDescent="0.25">
      <c r="A614" s="199" t="s">
        <v>253</v>
      </c>
      <c r="B614" s="270">
        <f t="shared" si="95"/>
        <v>237.57000000000002</v>
      </c>
      <c r="C614" s="272">
        <f t="shared" si="96"/>
        <v>19.797500000000003</v>
      </c>
      <c r="D614" s="77"/>
      <c r="E614" s="82"/>
      <c r="F614" s="82"/>
      <c r="G614" s="266"/>
      <c r="H614" s="266"/>
    </row>
    <row r="615" spans="1:10" ht="24" customHeight="1" x14ac:dyDescent="0.2">
      <c r="A615" s="199" t="s">
        <v>254</v>
      </c>
      <c r="B615" s="270">
        <f t="shared" si="95"/>
        <v>237.57000000000002</v>
      </c>
      <c r="C615" s="272">
        <f t="shared" si="96"/>
        <v>19.797500000000003</v>
      </c>
      <c r="D615" s="77"/>
      <c r="E615" s="82"/>
      <c r="F615" s="82"/>
      <c r="G615" s="261"/>
      <c r="H615" s="261"/>
    </row>
    <row r="616" spans="1:10" ht="24" customHeight="1" x14ac:dyDescent="0.2">
      <c r="A616" s="199" t="s">
        <v>255</v>
      </c>
      <c r="B616" s="270">
        <f t="shared" si="95"/>
        <v>237.57000000000002</v>
      </c>
      <c r="C616" s="272">
        <f t="shared" si="96"/>
        <v>19.797500000000003</v>
      </c>
      <c r="D616" s="77"/>
      <c r="E616" s="82"/>
      <c r="F616" s="82"/>
      <c r="G616" s="261"/>
      <c r="H616" s="261"/>
    </row>
    <row r="617" spans="1:10" ht="24" customHeight="1" x14ac:dyDescent="0.2">
      <c r="A617" s="199" t="s">
        <v>256</v>
      </c>
      <c r="B617" s="270">
        <f t="shared" si="95"/>
        <v>237.57000000000002</v>
      </c>
      <c r="C617" s="272">
        <f t="shared" si="96"/>
        <v>19.797500000000003</v>
      </c>
      <c r="D617" s="77"/>
      <c r="E617" s="82"/>
      <c r="F617" s="82"/>
      <c r="G617" s="261"/>
      <c r="H617" s="261"/>
    </row>
    <row r="618" spans="1:10" ht="24" customHeight="1" x14ac:dyDescent="0.2">
      <c r="A618" s="199" t="s">
        <v>258</v>
      </c>
      <c r="B618" s="270">
        <f t="shared" si="95"/>
        <v>237.57000000000002</v>
      </c>
      <c r="C618" s="272">
        <f t="shared" si="96"/>
        <v>19.797500000000003</v>
      </c>
      <c r="D618" s="77"/>
      <c r="E618" s="82"/>
      <c r="F618" s="82"/>
      <c r="G618" s="261"/>
      <c r="H618" s="261"/>
    </row>
    <row r="619" spans="1:10" ht="24" customHeight="1" x14ac:dyDescent="0.25">
      <c r="A619" s="199" t="s">
        <v>260</v>
      </c>
      <c r="B619" s="270">
        <f t="shared" si="95"/>
        <v>237.57000000000002</v>
      </c>
      <c r="C619" s="272">
        <f t="shared" si="96"/>
        <v>19.797500000000003</v>
      </c>
      <c r="D619" s="77"/>
      <c r="E619" s="82"/>
      <c r="F619" s="82"/>
    </row>
    <row r="620" spans="1:10" ht="24" customHeight="1" x14ac:dyDescent="0.25">
      <c r="A620" s="199" t="s">
        <v>259</v>
      </c>
      <c r="B620" s="270">
        <f t="shared" si="95"/>
        <v>237.57000000000002</v>
      </c>
      <c r="C620" s="272">
        <f t="shared" si="96"/>
        <v>19.797500000000003</v>
      </c>
      <c r="D620" s="77"/>
      <c r="E620" s="82"/>
      <c r="F620" s="82"/>
    </row>
    <row r="621" spans="1:10" ht="24" customHeight="1" thickBot="1" x14ac:dyDescent="0.3">
      <c r="A621" s="76"/>
      <c r="B621" s="77"/>
      <c r="C621" s="77"/>
      <c r="D621" s="77"/>
      <c r="E621" s="76"/>
      <c r="F621" s="76"/>
    </row>
    <row r="622" spans="1:10" ht="24" customHeight="1" thickBot="1" x14ac:dyDescent="0.3">
      <c r="A622" s="207" t="s">
        <v>299</v>
      </c>
      <c r="B622" s="208"/>
      <c r="C622" s="208"/>
      <c r="D622" s="208"/>
      <c r="E622" s="208"/>
      <c r="F622" s="208"/>
      <c r="G622" s="209"/>
    </row>
    <row r="623" spans="1:10" ht="41.25" customHeight="1" thickBot="1" x14ac:dyDescent="0.3">
      <c r="A623" s="115" t="s">
        <v>291</v>
      </c>
      <c r="B623" s="116" t="s">
        <v>292</v>
      </c>
      <c r="C623" s="117" t="s">
        <v>288</v>
      </c>
      <c r="D623" s="117" t="s">
        <v>231</v>
      </c>
      <c r="E623" s="117" t="s">
        <v>300</v>
      </c>
      <c r="F623" s="225" t="s">
        <v>301</v>
      </c>
      <c r="G623" s="113" t="s">
        <v>302</v>
      </c>
      <c r="H623" s="229" t="s">
        <v>307</v>
      </c>
      <c r="I623" s="230"/>
      <c r="J623" s="259" t="s">
        <v>313</v>
      </c>
    </row>
    <row r="624" spans="1:10" ht="24" customHeight="1" x14ac:dyDescent="0.25">
      <c r="A624" s="83" t="s">
        <v>293</v>
      </c>
      <c r="B624" s="279">
        <v>2.6</v>
      </c>
      <c r="C624" s="84" t="s">
        <v>303</v>
      </c>
      <c r="D624" s="85" t="s">
        <v>308</v>
      </c>
      <c r="E624" s="86">
        <f>12/2</f>
        <v>6</v>
      </c>
      <c r="F624" s="275">
        <f>E624*B624</f>
        <v>15.600000000000001</v>
      </c>
      <c r="G624" s="276">
        <f>F624/12</f>
        <v>1.3</v>
      </c>
      <c r="H624" s="229"/>
      <c r="I624" s="230"/>
      <c r="J624" s="259"/>
    </row>
    <row r="625" spans="1:12" ht="24" customHeight="1" x14ac:dyDescent="0.25">
      <c r="A625" s="87" t="s">
        <v>294</v>
      </c>
      <c r="B625" s="280">
        <v>52.01</v>
      </c>
      <c r="C625" s="88" t="s">
        <v>303</v>
      </c>
      <c r="D625" s="89" t="s">
        <v>309</v>
      </c>
      <c r="E625" s="90">
        <f>12/6</f>
        <v>2</v>
      </c>
      <c r="F625" s="275">
        <f t="shared" ref="F625:F629" si="97">E625*B625</f>
        <v>104.02</v>
      </c>
      <c r="G625" s="276">
        <f t="shared" ref="G625:G629" si="98">F625/12</f>
        <v>8.668333333333333</v>
      </c>
      <c r="H625" s="229"/>
      <c r="I625" s="230"/>
      <c r="J625" s="259"/>
    </row>
    <row r="626" spans="1:12" ht="24" customHeight="1" x14ac:dyDescent="0.25">
      <c r="A626" s="87" t="s">
        <v>295</v>
      </c>
      <c r="B626" s="280">
        <v>3.89</v>
      </c>
      <c r="C626" s="88" t="s">
        <v>304</v>
      </c>
      <c r="D626" s="89" t="s">
        <v>310</v>
      </c>
      <c r="E626" s="90">
        <v>1</v>
      </c>
      <c r="F626" s="275">
        <f t="shared" si="97"/>
        <v>3.89</v>
      </c>
      <c r="G626" s="276">
        <f t="shared" si="98"/>
        <v>0.32416666666666666</v>
      </c>
      <c r="H626" s="229"/>
      <c r="I626" s="230"/>
      <c r="J626" s="259"/>
      <c r="K626" s="112"/>
      <c r="L626" s="112"/>
    </row>
    <row r="627" spans="1:12" ht="24" customHeight="1" x14ac:dyDescent="0.25">
      <c r="A627" s="87" t="s">
        <v>296</v>
      </c>
      <c r="B627" s="280">
        <v>24.62</v>
      </c>
      <c r="C627" s="88" t="s">
        <v>304</v>
      </c>
      <c r="D627" s="89" t="s">
        <v>309</v>
      </c>
      <c r="E627" s="90">
        <f>12/6</f>
        <v>2</v>
      </c>
      <c r="F627" s="275">
        <f t="shared" si="97"/>
        <v>49.24</v>
      </c>
      <c r="G627" s="276">
        <f t="shared" si="98"/>
        <v>4.1033333333333335</v>
      </c>
      <c r="H627" s="229"/>
      <c r="I627" s="230"/>
      <c r="J627" s="259"/>
    </row>
    <row r="628" spans="1:12" ht="24" customHeight="1" x14ac:dyDescent="0.25">
      <c r="A628" s="87" t="s">
        <v>297</v>
      </c>
      <c r="B628" s="280">
        <v>3.37</v>
      </c>
      <c r="C628" s="88" t="s">
        <v>305</v>
      </c>
      <c r="D628" s="89" t="s">
        <v>311</v>
      </c>
      <c r="E628" s="90">
        <f>365</f>
        <v>365</v>
      </c>
      <c r="F628" s="281">
        <f>E628*B628</f>
        <v>1230.05</v>
      </c>
      <c r="G628" s="276">
        <f t="shared" si="98"/>
        <v>102.50416666666666</v>
      </c>
      <c r="H628" s="229"/>
      <c r="I628" s="230"/>
      <c r="J628" s="259"/>
    </row>
    <row r="629" spans="1:12" ht="24" customHeight="1" thickBot="1" x14ac:dyDescent="0.3">
      <c r="A629" s="87" t="s">
        <v>298</v>
      </c>
      <c r="B629" s="280">
        <f>12.56/100</f>
        <v>0.12560000000000002</v>
      </c>
      <c r="C629" s="88" t="s">
        <v>306</v>
      </c>
      <c r="D629" s="89" t="s">
        <v>312</v>
      </c>
      <c r="E629" s="90">
        <f>365</f>
        <v>365</v>
      </c>
      <c r="F629" s="275">
        <f t="shared" si="97"/>
        <v>45.844000000000008</v>
      </c>
      <c r="G629" s="276">
        <f t="shared" si="98"/>
        <v>3.820333333333334</v>
      </c>
      <c r="H629" s="229"/>
      <c r="I629" s="230"/>
      <c r="J629" s="259"/>
    </row>
    <row r="630" spans="1:12" ht="24" customHeight="1" thickBot="1" x14ac:dyDescent="0.3">
      <c r="A630" s="207" t="s">
        <v>158</v>
      </c>
      <c r="B630" s="208"/>
      <c r="C630" s="208"/>
      <c r="D630" s="209"/>
      <c r="E630" s="91"/>
      <c r="F630" s="278">
        <f>SUM(F624:F629)</f>
        <v>1448.644</v>
      </c>
      <c r="G630" s="277">
        <f>SUM(G624:G629)</f>
        <v>120.72033333333333</v>
      </c>
      <c r="H630" s="229"/>
      <c r="I630" s="230"/>
      <c r="J630" s="259"/>
    </row>
    <row r="631" spans="1:12" ht="24" customHeight="1" thickBot="1" x14ac:dyDescent="0.3">
      <c r="A631" s="76"/>
      <c r="B631" s="77"/>
      <c r="C631" s="77"/>
      <c r="D631" s="77"/>
      <c r="E631" s="76"/>
      <c r="F631" s="76"/>
    </row>
    <row r="632" spans="1:12" ht="24" customHeight="1" thickBot="1" x14ac:dyDescent="0.3">
      <c r="A632" s="129" t="s">
        <v>314</v>
      </c>
      <c r="B632" s="130"/>
      <c r="C632" s="130"/>
      <c r="D632" s="131"/>
    </row>
    <row r="633" spans="1:12" ht="27.75" customHeight="1" thickBot="1" x14ac:dyDescent="0.3">
      <c r="A633" s="92" t="s">
        <v>3</v>
      </c>
      <c r="B633" s="80" t="s">
        <v>105</v>
      </c>
      <c r="C633" s="80" t="s">
        <v>106</v>
      </c>
      <c r="D633" s="273" t="s">
        <v>159</v>
      </c>
    </row>
    <row r="634" spans="1:12" ht="24" customHeight="1" x14ac:dyDescent="0.25">
      <c r="A634" s="199" t="s">
        <v>252</v>
      </c>
      <c r="B634" s="270">
        <f>F624+F625+F626+F627+B628*240</f>
        <v>981.55000000000007</v>
      </c>
      <c r="C634" s="270">
        <f>B634/12</f>
        <v>81.795833333333334</v>
      </c>
      <c r="D634" s="274">
        <f>C634</f>
        <v>81.795833333333334</v>
      </c>
    </row>
    <row r="635" spans="1:12" ht="24" customHeight="1" x14ac:dyDescent="0.25">
      <c r="A635" s="200" t="s">
        <v>251</v>
      </c>
      <c r="B635" s="270">
        <f>F624+F625+F626+F627+B628*180</f>
        <v>779.35</v>
      </c>
      <c r="C635" s="270">
        <f t="shared" ref="C635:C643" si="99">B635/12</f>
        <v>64.94583333333334</v>
      </c>
      <c r="D635" s="274">
        <f t="shared" ref="D635:D643" si="100">C635</f>
        <v>64.94583333333334</v>
      </c>
    </row>
    <row r="636" spans="1:12" ht="24" customHeight="1" x14ac:dyDescent="0.25">
      <c r="A636" s="199" t="s">
        <v>250</v>
      </c>
      <c r="B636" s="270">
        <f>B635</f>
        <v>779.35</v>
      </c>
      <c r="C636" s="270">
        <f t="shared" si="99"/>
        <v>64.94583333333334</v>
      </c>
      <c r="D636" s="274">
        <f t="shared" si="100"/>
        <v>64.94583333333334</v>
      </c>
    </row>
    <row r="637" spans="1:12" ht="24" customHeight="1" x14ac:dyDescent="0.25">
      <c r="A637" s="199" t="s">
        <v>253</v>
      </c>
      <c r="B637" s="270">
        <f>F624+F625+F626+180*B629</f>
        <v>146.11799999999999</v>
      </c>
      <c r="C637" s="270">
        <f t="shared" si="99"/>
        <v>12.176499999999999</v>
      </c>
      <c r="D637" s="274">
        <f t="shared" si="100"/>
        <v>12.176499999999999</v>
      </c>
    </row>
    <row r="638" spans="1:12" ht="24" customHeight="1" x14ac:dyDescent="0.25">
      <c r="A638" s="199" t="s">
        <v>254</v>
      </c>
      <c r="B638" s="270">
        <f>B637</f>
        <v>146.11799999999999</v>
      </c>
      <c r="C638" s="270">
        <f t="shared" si="99"/>
        <v>12.176499999999999</v>
      </c>
      <c r="D638" s="274">
        <f t="shared" si="100"/>
        <v>12.176499999999999</v>
      </c>
    </row>
    <row r="639" spans="1:12" ht="24" customHeight="1" x14ac:dyDescent="0.25">
      <c r="A639" s="199" t="s">
        <v>255</v>
      </c>
      <c r="B639" s="270">
        <f>B638</f>
        <v>146.11799999999999</v>
      </c>
      <c r="C639" s="270">
        <f t="shared" si="99"/>
        <v>12.176499999999999</v>
      </c>
      <c r="D639" s="274">
        <f t="shared" si="100"/>
        <v>12.176499999999999</v>
      </c>
    </row>
    <row r="640" spans="1:12" ht="24" customHeight="1" x14ac:dyDescent="0.25">
      <c r="A640" s="199" t="s">
        <v>256</v>
      </c>
      <c r="B640" s="270">
        <f>F624+F625+F626+240*B629</f>
        <v>153.654</v>
      </c>
      <c r="C640" s="270">
        <f t="shared" si="99"/>
        <v>12.804499999999999</v>
      </c>
      <c r="D640" s="274">
        <f t="shared" si="100"/>
        <v>12.804499999999999</v>
      </c>
    </row>
    <row r="641" spans="1:4" ht="24" customHeight="1" x14ac:dyDescent="0.25">
      <c r="A641" s="199" t="s">
        <v>258</v>
      </c>
      <c r="B641" s="270">
        <f>B634+B629*240</f>
        <v>1011.6940000000001</v>
      </c>
      <c r="C641" s="270">
        <f t="shared" si="99"/>
        <v>84.307833333333335</v>
      </c>
      <c r="D641" s="274">
        <f t="shared" si="100"/>
        <v>84.307833333333335</v>
      </c>
    </row>
    <row r="642" spans="1:4" ht="24" customHeight="1" x14ac:dyDescent="0.25">
      <c r="A642" s="199" t="s">
        <v>260</v>
      </c>
      <c r="B642" s="270">
        <v>0</v>
      </c>
      <c r="C642" s="270">
        <f t="shared" si="99"/>
        <v>0</v>
      </c>
      <c r="D642" s="274">
        <f t="shared" si="100"/>
        <v>0</v>
      </c>
    </row>
    <row r="643" spans="1:4" ht="24" customHeight="1" x14ac:dyDescent="0.25">
      <c r="A643" s="199" t="s">
        <v>259</v>
      </c>
      <c r="B643" s="270">
        <v>0</v>
      </c>
      <c r="C643" s="270">
        <f t="shared" si="99"/>
        <v>0</v>
      </c>
      <c r="D643" s="274">
        <f t="shared" si="100"/>
        <v>0</v>
      </c>
    </row>
    <row r="644" spans="1:4" ht="24" customHeight="1" thickBot="1" x14ac:dyDescent="0.3"/>
    <row r="645" spans="1:4" ht="24" customHeight="1" thickBot="1" x14ac:dyDescent="0.3">
      <c r="A645" s="126" t="s">
        <v>115</v>
      </c>
      <c r="B645" s="127"/>
      <c r="C645" s="127"/>
      <c r="D645" s="128"/>
    </row>
    <row r="646" spans="1:4" ht="39.75" customHeight="1" x14ac:dyDescent="0.25">
      <c r="A646" s="56" t="s">
        <v>3</v>
      </c>
      <c r="B646" s="93" t="s">
        <v>160</v>
      </c>
      <c r="C646" s="93" t="s">
        <v>315</v>
      </c>
      <c r="D646" s="57" t="s">
        <v>4</v>
      </c>
    </row>
    <row r="647" spans="1:4" ht="24" customHeight="1" x14ac:dyDescent="0.25">
      <c r="A647" s="199" t="s">
        <v>252</v>
      </c>
      <c r="B647" s="282">
        <f>C611</f>
        <v>19.797500000000003</v>
      </c>
      <c r="C647" s="282">
        <f>D634</f>
        <v>81.795833333333334</v>
      </c>
      <c r="D647" s="274">
        <f>SUM(B647:C647)</f>
        <v>101.59333333333333</v>
      </c>
    </row>
    <row r="648" spans="1:4" ht="24" customHeight="1" x14ac:dyDescent="0.25">
      <c r="A648" s="200" t="s">
        <v>251</v>
      </c>
      <c r="B648" s="282">
        <f t="shared" ref="B648:B656" si="101">C612</f>
        <v>19.797500000000003</v>
      </c>
      <c r="C648" s="282">
        <f t="shared" ref="C648:C656" si="102">D635</f>
        <v>64.94583333333334</v>
      </c>
      <c r="D648" s="274">
        <f t="shared" ref="D648:D656" si="103">SUM(B648:C648)</f>
        <v>84.743333333333339</v>
      </c>
    </row>
    <row r="649" spans="1:4" ht="24" customHeight="1" x14ac:dyDescent="0.25">
      <c r="A649" s="199" t="s">
        <v>250</v>
      </c>
      <c r="B649" s="282">
        <f t="shared" si="101"/>
        <v>19.797500000000003</v>
      </c>
      <c r="C649" s="282">
        <f t="shared" si="102"/>
        <v>64.94583333333334</v>
      </c>
      <c r="D649" s="274">
        <f t="shared" si="103"/>
        <v>84.743333333333339</v>
      </c>
    </row>
    <row r="650" spans="1:4" ht="24" customHeight="1" x14ac:dyDescent="0.25">
      <c r="A650" s="199" t="s">
        <v>253</v>
      </c>
      <c r="B650" s="282">
        <f t="shared" si="101"/>
        <v>19.797500000000003</v>
      </c>
      <c r="C650" s="282">
        <f t="shared" si="102"/>
        <v>12.176499999999999</v>
      </c>
      <c r="D650" s="274">
        <f t="shared" si="103"/>
        <v>31.974000000000004</v>
      </c>
    </row>
    <row r="651" spans="1:4" ht="24" customHeight="1" x14ac:dyDescent="0.25">
      <c r="A651" s="199" t="s">
        <v>254</v>
      </c>
      <c r="B651" s="282">
        <f t="shared" si="101"/>
        <v>19.797500000000003</v>
      </c>
      <c r="C651" s="282">
        <f t="shared" si="102"/>
        <v>12.176499999999999</v>
      </c>
      <c r="D651" s="274">
        <f t="shared" si="103"/>
        <v>31.974000000000004</v>
      </c>
    </row>
    <row r="652" spans="1:4" ht="24" customHeight="1" x14ac:dyDescent="0.25">
      <c r="A652" s="199" t="s">
        <v>255</v>
      </c>
      <c r="B652" s="282">
        <f t="shared" si="101"/>
        <v>19.797500000000003</v>
      </c>
      <c r="C652" s="282">
        <f t="shared" si="102"/>
        <v>12.176499999999999</v>
      </c>
      <c r="D652" s="274">
        <f t="shared" si="103"/>
        <v>31.974000000000004</v>
      </c>
    </row>
    <row r="653" spans="1:4" ht="24" customHeight="1" x14ac:dyDescent="0.25">
      <c r="A653" s="199" t="s">
        <v>256</v>
      </c>
      <c r="B653" s="282">
        <f t="shared" si="101"/>
        <v>19.797500000000003</v>
      </c>
      <c r="C653" s="282">
        <f t="shared" si="102"/>
        <v>12.804499999999999</v>
      </c>
      <c r="D653" s="274">
        <f t="shared" si="103"/>
        <v>32.602000000000004</v>
      </c>
    </row>
    <row r="654" spans="1:4" ht="24" customHeight="1" x14ac:dyDescent="0.25">
      <c r="A654" s="199" t="s">
        <v>258</v>
      </c>
      <c r="B654" s="282">
        <f t="shared" si="101"/>
        <v>19.797500000000003</v>
      </c>
      <c r="C654" s="282">
        <f t="shared" si="102"/>
        <v>84.307833333333335</v>
      </c>
      <c r="D654" s="274">
        <f t="shared" si="103"/>
        <v>104.10533333333333</v>
      </c>
    </row>
    <row r="655" spans="1:4" ht="24" customHeight="1" x14ac:dyDescent="0.25">
      <c r="A655" s="199" t="s">
        <v>260</v>
      </c>
      <c r="B655" s="282">
        <f t="shared" si="101"/>
        <v>19.797500000000003</v>
      </c>
      <c r="C655" s="282">
        <f t="shared" si="102"/>
        <v>0</v>
      </c>
      <c r="D655" s="274">
        <f t="shared" si="103"/>
        <v>19.797500000000003</v>
      </c>
    </row>
    <row r="656" spans="1:4" ht="24" customHeight="1" x14ac:dyDescent="0.25">
      <c r="A656" s="199" t="s">
        <v>259</v>
      </c>
      <c r="B656" s="282">
        <f t="shared" si="101"/>
        <v>19.797500000000003</v>
      </c>
      <c r="C656" s="282">
        <f t="shared" si="102"/>
        <v>0</v>
      </c>
      <c r="D656" s="274">
        <f t="shared" si="103"/>
        <v>19.797500000000003</v>
      </c>
    </row>
    <row r="658" spans="1:9" ht="24" customHeight="1" x14ac:dyDescent="0.25">
      <c r="A658" s="132" t="s">
        <v>116</v>
      </c>
      <c r="B658" s="132"/>
      <c r="C658" s="132"/>
      <c r="D658" s="132"/>
      <c r="E658" s="132"/>
      <c r="F658" s="132"/>
      <c r="G658" s="132"/>
      <c r="H658" s="132"/>
      <c r="I658" s="132"/>
    </row>
    <row r="659" spans="1:9" ht="24" customHeight="1" thickBot="1" x14ac:dyDescent="0.3">
      <c r="A659" s="123"/>
      <c r="B659" s="123"/>
      <c r="C659" s="123"/>
      <c r="D659" s="123"/>
      <c r="E659" s="123"/>
      <c r="F659" s="123"/>
      <c r="G659" s="123"/>
    </row>
    <row r="660" spans="1:9" ht="49.5" customHeight="1" x14ac:dyDescent="0.25">
      <c r="A660" s="124" t="s">
        <v>147</v>
      </c>
      <c r="B660" s="125"/>
      <c r="C660" s="65"/>
      <c r="D660" s="65"/>
      <c r="E660" s="65"/>
      <c r="F660" s="120"/>
      <c r="G660" s="65"/>
    </row>
    <row r="661" spans="1:9" ht="54" customHeight="1" x14ac:dyDescent="0.2">
      <c r="A661" s="199" t="s">
        <v>148</v>
      </c>
      <c r="B661" s="284">
        <v>0.03</v>
      </c>
      <c r="C661" s="265" t="s">
        <v>316</v>
      </c>
      <c r="D661" s="265"/>
      <c r="E661" s="265"/>
      <c r="F661" s="265"/>
      <c r="G661" s="265"/>
      <c r="H661" s="265"/>
      <c r="I661" s="265"/>
    </row>
    <row r="662" spans="1:9" ht="57.75" customHeight="1" x14ac:dyDescent="0.25">
      <c r="A662" s="199" t="s">
        <v>149</v>
      </c>
      <c r="B662" s="284">
        <v>5.6500000000000002E-2</v>
      </c>
      <c r="C662" s="285" t="s">
        <v>317</v>
      </c>
      <c r="D662" s="285"/>
      <c r="E662" s="285"/>
      <c r="F662" s="285"/>
      <c r="G662" s="285"/>
      <c r="H662" s="285"/>
      <c r="I662" s="285"/>
    </row>
    <row r="663" spans="1:9" ht="24" customHeight="1" x14ac:dyDescent="0.25">
      <c r="A663" s="199" t="s">
        <v>150</v>
      </c>
      <c r="B663" s="284">
        <v>6.7900000000000002E-2</v>
      </c>
      <c r="C663" s="283" t="s">
        <v>318</v>
      </c>
      <c r="D663" s="283"/>
      <c r="E663" s="283"/>
      <c r="F663" s="283"/>
      <c r="G663" s="283"/>
      <c r="H663" s="283"/>
      <c r="I663" s="283"/>
    </row>
    <row r="664" spans="1:9" ht="24" customHeight="1" thickBot="1" x14ac:dyDescent="0.3"/>
    <row r="665" spans="1:9" ht="24" customHeight="1" thickBot="1" x14ac:dyDescent="0.3">
      <c r="A665" s="140" t="s">
        <v>116</v>
      </c>
      <c r="B665" s="141"/>
      <c r="C665" s="141"/>
      <c r="D665" s="142"/>
    </row>
    <row r="666" spans="1:9" ht="24" customHeight="1" x14ac:dyDescent="0.25">
      <c r="A666" s="4" t="s">
        <v>3</v>
      </c>
      <c r="B666" s="5" t="s">
        <v>1</v>
      </c>
      <c r="C666" s="5" t="s">
        <v>2</v>
      </c>
      <c r="D666" s="6" t="s">
        <v>4</v>
      </c>
    </row>
    <row r="667" spans="1:9" ht="24" customHeight="1" x14ac:dyDescent="0.25">
      <c r="A667" s="199" t="s">
        <v>252</v>
      </c>
      <c r="B667" s="270">
        <f>G104+E339+E479+D589+D647</f>
        <v>5092.3358809234296</v>
      </c>
      <c r="C667" s="70">
        <f>((1+$B$661)/(1-$B$662-$B$663))-1</f>
        <v>0.17633622658748282</v>
      </c>
      <c r="D667" s="172">
        <f>B667*C667</f>
        <v>897.96329375808284</v>
      </c>
    </row>
    <row r="668" spans="1:9" ht="24" customHeight="1" x14ac:dyDescent="0.25">
      <c r="A668" s="200" t="s">
        <v>251</v>
      </c>
      <c r="B668" s="270">
        <f t="shared" ref="B668:B676" si="104">G105+E340+E480+D590+D648</f>
        <v>5264.759648004283</v>
      </c>
      <c r="C668" s="70">
        <f t="shared" ref="C668:C676" si="105">((1+$B$661)/(1-$B$662-$B$663))-1</f>
        <v>0.17633622658748282</v>
      </c>
      <c r="D668" s="172">
        <f t="shared" ref="D668:D676" si="106">B668*C668</f>
        <v>928.36785021911953</v>
      </c>
    </row>
    <row r="669" spans="1:9" ht="24" customHeight="1" x14ac:dyDescent="0.25">
      <c r="A669" s="199" t="s">
        <v>250</v>
      </c>
      <c r="B669" s="270">
        <f t="shared" si="104"/>
        <v>6152.3294238325361</v>
      </c>
      <c r="C669" s="70">
        <f t="shared" si="105"/>
        <v>0.17633622658748282</v>
      </c>
      <c r="D669" s="172">
        <f t="shared" si="106"/>
        <v>1084.8785553217717</v>
      </c>
    </row>
    <row r="670" spans="1:9" ht="24" customHeight="1" x14ac:dyDescent="0.25">
      <c r="A670" s="199" t="s">
        <v>253</v>
      </c>
      <c r="B670" s="270">
        <f t="shared" si="104"/>
        <v>5322.2933284540049</v>
      </c>
      <c r="C670" s="70">
        <f t="shared" si="105"/>
        <v>0.17633622658748282</v>
      </c>
      <c r="D670" s="172">
        <f t="shared" si="106"/>
        <v>938.51312233131353</v>
      </c>
    </row>
    <row r="671" spans="1:9" ht="24" customHeight="1" x14ac:dyDescent="0.25">
      <c r="A671" s="199" t="s">
        <v>254</v>
      </c>
      <c r="B671" s="270">
        <f t="shared" si="104"/>
        <v>5322.2933284540049</v>
      </c>
      <c r="C671" s="70">
        <f t="shared" si="105"/>
        <v>0.17633622658748282</v>
      </c>
      <c r="D671" s="172">
        <f t="shared" si="106"/>
        <v>938.51312233131353</v>
      </c>
    </row>
    <row r="672" spans="1:9" ht="24" customHeight="1" x14ac:dyDescent="0.25">
      <c r="A672" s="199" t="s">
        <v>255</v>
      </c>
      <c r="B672" s="270">
        <f t="shared" si="104"/>
        <v>5713.1127148894602</v>
      </c>
      <c r="C672" s="70">
        <f t="shared" si="105"/>
        <v>0.17633622658748282</v>
      </c>
      <c r="D672" s="172">
        <f t="shared" si="106"/>
        <v>1007.4287382125771</v>
      </c>
    </row>
    <row r="673" spans="1:9" ht="24" customHeight="1" x14ac:dyDescent="0.25">
      <c r="A673" s="199" t="s">
        <v>256</v>
      </c>
      <c r="B673" s="270">
        <f t="shared" si="104"/>
        <v>5446.8629034673031</v>
      </c>
      <c r="C673" s="70">
        <f t="shared" si="105"/>
        <v>0.17633622658748282</v>
      </c>
      <c r="D673" s="172">
        <f t="shared" si="106"/>
        <v>960.4792511367649</v>
      </c>
    </row>
    <row r="674" spans="1:9" ht="24" customHeight="1" x14ac:dyDescent="0.25">
      <c r="A674" s="199" t="s">
        <v>258</v>
      </c>
      <c r="B674" s="270">
        <f t="shared" si="104"/>
        <v>5341.1916203163682</v>
      </c>
      <c r="C674" s="70">
        <f t="shared" si="105"/>
        <v>0.17633622658748282</v>
      </c>
      <c r="D674" s="172">
        <f t="shared" si="106"/>
        <v>941.84557580727164</v>
      </c>
    </row>
    <row r="675" spans="1:9" ht="24" customHeight="1" x14ac:dyDescent="0.25">
      <c r="A675" s="199" t="s">
        <v>260</v>
      </c>
      <c r="B675" s="270">
        <f t="shared" si="104"/>
        <v>7358.4230216538172</v>
      </c>
      <c r="C675" s="70">
        <f t="shared" si="105"/>
        <v>0.17633622658748282</v>
      </c>
      <c r="D675" s="172">
        <f t="shared" si="106"/>
        <v>1297.5565492728974</v>
      </c>
    </row>
    <row r="676" spans="1:9" ht="24" customHeight="1" x14ac:dyDescent="0.25">
      <c r="A676" s="199" t="s">
        <v>259</v>
      </c>
      <c r="B676" s="270">
        <f t="shared" si="104"/>
        <v>7358.4230216538172</v>
      </c>
      <c r="C676" s="70">
        <f t="shared" si="105"/>
        <v>0.17633622658748282</v>
      </c>
      <c r="D676" s="172">
        <f t="shared" si="106"/>
        <v>1297.5565492728974</v>
      </c>
    </row>
    <row r="678" spans="1:9" ht="24" customHeight="1" x14ac:dyDescent="0.25">
      <c r="A678" s="132" t="s">
        <v>137</v>
      </c>
      <c r="B678" s="132"/>
      <c r="C678" s="132"/>
      <c r="D678" s="132"/>
      <c r="E678" s="132"/>
      <c r="F678" s="132"/>
      <c r="G678" s="132"/>
      <c r="H678" s="132"/>
      <c r="I678" s="132"/>
    </row>
    <row r="679" spans="1:9" ht="15.75" x14ac:dyDescent="0.25">
      <c r="A679" s="286" t="s">
        <v>232</v>
      </c>
      <c r="B679" s="286"/>
      <c r="C679" s="286"/>
      <c r="D679" s="286"/>
      <c r="E679" s="286"/>
      <c r="F679" s="286"/>
      <c r="G679" s="286"/>
      <c r="H679" s="287"/>
      <c r="I679" s="287"/>
    </row>
    <row r="680" spans="1:9" ht="16.5" thickBot="1" x14ac:dyDescent="0.3">
      <c r="A680" s="287"/>
      <c r="B680" s="287"/>
      <c r="C680" s="287"/>
      <c r="D680" s="287"/>
      <c r="E680" s="287"/>
      <c r="F680" s="287"/>
      <c r="G680" s="287"/>
      <c r="H680" s="287"/>
      <c r="I680" s="287"/>
    </row>
    <row r="681" spans="1:9" ht="16.5" thickBot="1" x14ac:dyDescent="0.3">
      <c r="A681" s="288" t="s">
        <v>118</v>
      </c>
      <c r="B681" s="289"/>
      <c r="C681" s="289"/>
      <c r="D681" s="290"/>
      <c r="E681" s="287"/>
      <c r="F681" s="287"/>
      <c r="G681" s="287"/>
      <c r="H681" s="287"/>
      <c r="I681" s="287"/>
    </row>
    <row r="682" spans="1:9" ht="24" customHeight="1" thickBot="1" x14ac:dyDescent="0.3">
      <c r="A682" s="291" t="s">
        <v>3</v>
      </c>
      <c r="B682" s="292" t="s">
        <v>1</v>
      </c>
      <c r="C682" s="292" t="s">
        <v>117</v>
      </c>
      <c r="D682" s="293" t="s">
        <v>4</v>
      </c>
      <c r="E682" s="287"/>
      <c r="F682" s="287"/>
      <c r="G682" s="287"/>
      <c r="H682" s="287"/>
      <c r="I682" s="287"/>
    </row>
    <row r="683" spans="1:9" ht="24" customHeight="1" x14ac:dyDescent="0.25">
      <c r="A683" s="294" t="s">
        <v>140</v>
      </c>
      <c r="B683" s="295" t="e">
        <f>#REF!+#REF!+#REF!+D597+D656+D676</f>
        <v>#REF!</v>
      </c>
      <c r="C683" s="296">
        <v>40</v>
      </c>
      <c r="D683" s="297" t="e">
        <f>B683/C683</f>
        <v>#REF!</v>
      </c>
      <c r="E683" s="287"/>
      <c r="F683" s="287"/>
      <c r="G683" s="287"/>
      <c r="H683" s="287"/>
      <c r="I683" s="287"/>
    </row>
    <row r="684" spans="1:9" ht="24" customHeight="1" x14ac:dyDescent="0.25">
      <c r="A684" s="298" t="s">
        <v>141</v>
      </c>
      <c r="B684" s="299" t="e">
        <f>#REF!+#REF!+#REF!+D598+#REF!+#REF!</f>
        <v>#REF!</v>
      </c>
      <c r="C684" s="300">
        <f>C683</f>
        <v>40</v>
      </c>
      <c r="D684" s="301" t="e">
        <f t="shared" ref="D684:D685" si="107">B684/C684</f>
        <v>#REF!</v>
      </c>
      <c r="E684" s="287"/>
      <c r="F684" s="287"/>
      <c r="G684" s="287"/>
      <c r="H684" s="287"/>
      <c r="I684" s="287"/>
    </row>
    <row r="685" spans="1:9" ht="24" customHeight="1" thickBot="1" x14ac:dyDescent="0.3">
      <c r="A685" s="302" t="s">
        <v>142</v>
      </c>
      <c r="B685" s="303" t="e">
        <f>#REF!+#REF!+#REF!+#REF!+#REF!+#REF!</f>
        <v>#REF!</v>
      </c>
      <c r="C685" s="304">
        <f>C684</f>
        <v>40</v>
      </c>
      <c r="D685" s="305" t="e">
        <f t="shared" si="107"/>
        <v>#REF!</v>
      </c>
      <c r="E685" s="287"/>
      <c r="F685" s="287"/>
      <c r="G685" s="287"/>
      <c r="H685" s="287"/>
      <c r="I685" s="306"/>
    </row>
    <row r="687" spans="1:9" ht="24" customHeight="1" x14ac:dyDescent="0.25">
      <c r="A687" s="132" t="s">
        <v>151</v>
      </c>
      <c r="B687" s="132"/>
      <c r="C687" s="132"/>
      <c r="D687" s="132"/>
      <c r="E687" s="132"/>
      <c r="F687" s="132"/>
      <c r="G687" s="132"/>
      <c r="H687" s="132"/>
      <c r="I687" s="132"/>
    </row>
    <row r="689" spans="1:12" ht="24" customHeight="1" x14ac:dyDescent="0.25">
      <c r="A689" s="312" t="s">
        <v>152</v>
      </c>
      <c r="B689" s="313"/>
      <c r="C689" s="313"/>
      <c r="D689" s="313"/>
      <c r="E689" s="313"/>
      <c r="F689" s="313"/>
      <c r="G689" s="313"/>
      <c r="H689" s="313"/>
      <c r="I689" s="313"/>
      <c r="J689" s="313"/>
      <c r="K689" s="313"/>
    </row>
    <row r="690" spans="1:12" ht="30.75" customHeight="1" x14ac:dyDescent="0.25">
      <c r="A690" s="311" t="s">
        <v>119</v>
      </c>
      <c r="B690" s="311" t="s">
        <v>252</v>
      </c>
      <c r="C690" s="311" t="s">
        <v>251</v>
      </c>
      <c r="D690" s="311" t="s">
        <v>250</v>
      </c>
      <c r="E690" s="311" t="s">
        <v>253</v>
      </c>
      <c r="F690" s="311" t="s">
        <v>254</v>
      </c>
      <c r="G690" s="311" t="s">
        <v>255</v>
      </c>
      <c r="H690" s="311" t="s">
        <v>256</v>
      </c>
      <c r="I690" s="311" t="s">
        <v>258</v>
      </c>
      <c r="J690" s="311" t="s">
        <v>260</v>
      </c>
      <c r="K690" s="311" t="s">
        <v>319</v>
      </c>
    </row>
    <row r="691" spans="1:12" ht="32.1" customHeight="1" x14ac:dyDescent="0.25">
      <c r="A691" s="168" t="s">
        <v>120</v>
      </c>
      <c r="B691" s="308">
        <f>G104</f>
        <v>2051.4727272727273</v>
      </c>
      <c r="C691" s="308">
        <f>G105</f>
        <v>2224.1999999999998</v>
      </c>
      <c r="D691" s="308">
        <f>G106</f>
        <v>2706.1099999999997</v>
      </c>
      <c r="E691" s="308">
        <f>G107</f>
        <v>2285.1999999999998</v>
      </c>
      <c r="F691" s="308">
        <f>G108</f>
        <v>2285.1999999999998</v>
      </c>
      <c r="G691" s="308">
        <f>G109</f>
        <v>2497.3971428571426</v>
      </c>
      <c r="H691" s="308">
        <f>G110</f>
        <v>2285.1999999999998</v>
      </c>
      <c r="I691" s="308">
        <f>G111</f>
        <v>2182.4727272727273</v>
      </c>
      <c r="J691" s="308">
        <f>G112</f>
        <v>3347.2</v>
      </c>
      <c r="K691" s="308">
        <f>G113</f>
        <v>3347.2</v>
      </c>
      <c r="L691" s="314"/>
    </row>
    <row r="692" spans="1:12" ht="32.1" customHeight="1" x14ac:dyDescent="0.25">
      <c r="A692" s="168" t="s">
        <v>121</v>
      </c>
      <c r="B692" s="308">
        <f>E339</f>
        <v>2293.4973454545452</v>
      </c>
      <c r="C692" s="308">
        <f>E340</f>
        <v>2379.6427999999996</v>
      </c>
      <c r="D692" s="308">
        <f>E341</f>
        <v>2685.1737399999997</v>
      </c>
      <c r="E692" s="315">
        <f>E342</f>
        <v>2416.4868000000001</v>
      </c>
      <c r="F692" s="315">
        <f>E343</f>
        <v>2416.4868000000001</v>
      </c>
      <c r="G692" s="315">
        <f>E344</f>
        <v>2551.0197885714288</v>
      </c>
      <c r="H692" s="315">
        <f>E345</f>
        <v>2427.6568000000002</v>
      </c>
      <c r="I692" s="315">
        <f>E346</f>
        <v>2376.5513454545458</v>
      </c>
      <c r="J692" s="315">
        <f>E347</f>
        <v>3037.2447999999999</v>
      </c>
      <c r="K692" s="315">
        <f>E348</f>
        <v>3037.2447999999999</v>
      </c>
    </row>
    <row r="693" spans="1:12" ht="32.1" customHeight="1" x14ac:dyDescent="0.25">
      <c r="A693" s="168" t="s">
        <v>122</v>
      </c>
      <c r="B693" s="308">
        <f>E479</f>
        <v>268.06927592492929</v>
      </c>
      <c r="C693" s="308">
        <f>E480</f>
        <v>284.78290563199999</v>
      </c>
      <c r="D693" s="308">
        <f>E481</f>
        <v>334.98342428282217</v>
      </c>
      <c r="E693" s="315">
        <f>E482</f>
        <v>291.03706205311113</v>
      </c>
      <c r="F693" s="315">
        <f>E483</f>
        <v>291.03706205311113</v>
      </c>
      <c r="G693" s="315">
        <f>E484</f>
        <v>313.14161814792391</v>
      </c>
      <c r="H693" s="315">
        <f>E485</f>
        <v>291.64871263644449</v>
      </c>
      <c r="I693" s="315">
        <f>E486</f>
        <v>281.71553340715161</v>
      </c>
      <c r="J693" s="315">
        <f>E487</f>
        <v>398.78795015644448</v>
      </c>
      <c r="K693" s="315">
        <f>E488</f>
        <v>398.78795015644448</v>
      </c>
    </row>
    <row r="694" spans="1:12" ht="32.1" customHeight="1" x14ac:dyDescent="0.25">
      <c r="A694" s="168" t="s">
        <v>123</v>
      </c>
      <c r="B694" s="308">
        <f>D589</f>
        <v>377.70319893789502</v>
      </c>
      <c r="C694" s="308">
        <f>D590</f>
        <v>291.39060903895</v>
      </c>
      <c r="D694" s="308">
        <f>D591</f>
        <v>341.31892621638116</v>
      </c>
      <c r="E694" s="315">
        <f>D592</f>
        <v>297.59546640089405</v>
      </c>
      <c r="F694" s="315">
        <f>D593</f>
        <v>297.59546640089405</v>
      </c>
      <c r="G694" s="315">
        <f>D594</f>
        <v>319.58016531296499</v>
      </c>
      <c r="H694" s="315">
        <f>D595</f>
        <v>409.75539083085931</v>
      </c>
      <c r="I694" s="315">
        <f>D596</f>
        <v>396.34668084861096</v>
      </c>
      <c r="J694" s="315">
        <f>D597</f>
        <v>555.39277149737347</v>
      </c>
      <c r="K694" s="315">
        <f>D598</f>
        <v>555.39277149737347</v>
      </c>
    </row>
    <row r="695" spans="1:12" ht="32.1" customHeight="1" x14ac:dyDescent="0.25">
      <c r="A695" s="168" t="s">
        <v>124</v>
      </c>
      <c r="B695" s="308">
        <f>D647</f>
        <v>101.59333333333333</v>
      </c>
      <c r="C695" s="308">
        <f>D648</f>
        <v>84.743333333333339</v>
      </c>
      <c r="D695" s="308">
        <f>D649</f>
        <v>84.743333333333339</v>
      </c>
      <c r="E695" s="315">
        <f>D650</f>
        <v>31.974000000000004</v>
      </c>
      <c r="F695" s="315">
        <f>D651</f>
        <v>31.974000000000004</v>
      </c>
      <c r="G695" s="315">
        <f>D652</f>
        <v>31.974000000000004</v>
      </c>
      <c r="H695" s="315">
        <f>D653</f>
        <v>32.602000000000004</v>
      </c>
      <c r="I695" s="315">
        <f>D654</f>
        <v>104.10533333333333</v>
      </c>
      <c r="J695" s="315">
        <f>D655</f>
        <v>19.797500000000003</v>
      </c>
      <c r="K695" s="315">
        <f>D656</f>
        <v>19.797500000000003</v>
      </c>
    </row>
    <row r="696" spans="1:12" ht="32.1" customHeight="1" x14ac:dyDescent="0.25">
      <c r="A696" s="168" t="s">
        <v>125</v>
      </c>
      <c r="B696" s="308">
        <f>D667</f>
        <v>897.96329375808284</v>
      </c>
      <c r="C696" s="308">
        <f>D668</f>
        <v>928.36785021911953</v>
      </c>
      <c r="D696" s="308">
        <f>D669</f>
        <v>1084.8785553217717</v>
      </c>
      <c r="E696" s="315">
        <f>D670</f>
        <v>938.51312233131353</v>
      </c>
      <c r="F696" s="315">
        <f>D671</f>
        <v>938.51312233131353</v>
      </c>
      <c r="G696" s="315">
        <f>D672</f>
        <v>1007.4287382125771</v>
      </c>
      <c r="H696" s="315">
        <f>D673</f>
        <v>960.4792511367649</v>
      </c>
      <c r="I696" s="315">
        <f>D674</f>
        <v>941.84557580727164</v>
      </c>
      <c r="J696" s="315">
        <f>D675</f>
        <v>1297.5565492728974</v>
      </c>
      <c r="K696" s="315">
        <f>D676</f>
        <v>1297.5565492728974</v>
      </c>
    </row>
    <row r="697" spans="1:12" ht="32.1" customHeight="1" x14ac:dyDescent="0.25">
      <c r="A697" s="307" t="s">
        <v>126</v>
      </c>
      <c r="B697" s="309">
        <f>SUM(B691:B696)</f>
        <v>5990.2991746815123</v>
      </c>
      <c r="C697" s="309">
        <f>SUM(C691:C696)</f>
        <v>6193.1274982234027</v>
      </c>
      <c r="D697" s="309">
        <f t="shared" ref="D697:K697" si="108">SUM(D691:D696)</f>
        <v>7237.2079791543074</v>
      </c>
      <c r="E697" s="309">
        <f t="shared" si="108"/>
        <v>6260.8064507853187</v>
      </c>
      <c r="F697" s="309">
        <f t="shared" si="108"/>
        <v>6260.8064507853187</v>
      </c>
      <c r="G697" s="309">
        <f t="shared" si="108"/>
        <v>6720.5414531020369</v>
      </c>
      <c r="H697" s="309">
        <f t="shared" si="108"/>
        <v>6407.3421546040681</v>
      </c>
      <c r="I697" s="309">
        <f t="shared" si="108"/>
        <v>6283.0371961236397</v>
      </c>
      <c r="J697" s="309">
        <f t="shared" si="108"/>
        <v>8655.9795709267146</v>
      </c>
      <c r="K697" s="309">
        <f t="shared" si="108"/>
        <v>8655.9795709267146</v>
      </c>
    </row>
    <row r="698" spans="1:12" ht="32.1" customHeight="1" x14ac:dyDescent="0.25">
      <c r="A698" s="198" t="s">
        <v>127</v>
      </c>
      <c r="B698" s="310">
        <f>B697*1</f>
        <v>5990.2991746815123</v>
      </c>
      <c r="C698" s="310">
        <f>C697*2</f>
        <v>12386.254996446805</v>
      </c>
      <c r="D698" s="310">
        <f t="shared" ref="D698:I698" si="109">D697*2</f>
        <v>14474.415958308615</v>
      </c>
      <c r="E698" s="310">
        <f t="shared" si="109"/>
        <v>12521.612901570637</v>
      </c>
      <c r="F698" s="310">
        <f t="shared" si="109"/>
        <v>12521.612901570637</v>
      </c>
      <c r="G698" s="310">
        <f t="shared" si="109"/>
        <v>13441.082906204074</v>
      </c>
      <c r="H698" s="310">
        <f>H697*1</f>
        <v>6407.3421546040681</v>
      </c>
      <c r="I698" s="310">
        <f>I697*1</f>
        <v>6283.0371961236397</v>
      </c>
      <c r="J698" s="310">
        <f t="shared" ref="J698:K698" si="110">J697*1</f>
        <v>8655.9795709267146</v>
      </c>
      <c r="K698" s="310">
        <f t="shared" si="110"/>
        <v>8655.9795709267146</v>
      </c>
    </row>
  </sheetData>
  <mergeCells count="118">
    <mergeCell ref="G609:H614"/>
    <mergeCell ref="H623:I630"/>
    <mergeCell ref="J623:J630"/>
    <mergeCell ref="C661:I661"/>
    <mergeCell ref="C663:I663"/>
    <mergeCell ref="C662:I662"/>
    <mergeCell ref="A689:K689"/>
    <mergeCell ref="A254:D254"/>
    <mergeCell ref="A268:C268"/>
    <mergeCell ref="C353:E359"/>
    <mergeCell ref="A493:G493"/>
    <mergeCell ref="A494:G494"/>
    <mergeCell ref="A509:G509"/>
    <mergeCell ref="E559:I561"/>
    <mergeCell ref="E592:I596"/>
    <mergeCell ref="A266:G266"/>
    <mergeCell ref="A322:G322"/>
    <mergeCell ref="A309:D309"/>
    <mergeCell ref="A6:I6"/>
    <mergeCell ref="A9:I9"/>
    <mergeCell ref="A24:I24"/>
    <mergeCell ref="A40:I40"/>
    <mergeCell ref="A57:I57"/>
    <mergeCell ref="A99:I99"/>
    <mergeCell ref="A100:I100"/>
    <mergeCell ref="A115:I115"/>
    <mergeCell ref="A172:I172"/>
    <mergeCell ref="A226:I226"/>
    <mergeCell ref="A307:I307"/>
    <mergeCell ref="A281:D281"/>
    <mergeCell ref="A294:D294"/>
    <mergeCell ref="A227:G227"/>
    <mergeCell ref="A241:E241"/>
    <mergeCell ref="A225:I225"/>
    <mergeCell ref="A199:D199"/>
    <mergeCell ref="A132:D132"/>
    <mergeCell ref="A665:D665"/>
    <mergeCell ref="A681:D681"/>
    <mergeCell ref="A645:D645"/>
    <mergeCell ref="A679:G679"/>
    <mergeCell ref="A678:I678"/>
    <mergeCell ref="A687:I687"/>
    <mergeCell ref="A26:D26"/>
    <mergeCell ref="A59:E59"/>
    <mergeCell ref="A39:I39"/>
    <mergeCell ref="A56:I56"/>
    <mergeCell ref="A73:E73"/>
    <mergeCell ref="A145:E145"/>
    <mergeCell ref="A158:E158"/>
    <mergeCell ref="A559:D559"/>
    <mergeCell ref="A572:D572"/>
    <mergeCell ref="A511:D511"/>
    <mergeCell ref="A512:A513"/>
    <mergeCell ref="B512:D512"/>
    <mergeCell ref="A530:D530"/>
    <mergeCell ref="A543:E543"/>
    <mergeCell ref="A528:I528"/>
    <mergeCell ref="A556:I556"/>
    <mergeCell ref="A529:I529"/>
    <mergeCell ref="A557:I557"/>
    <mergeCell ref="A495:A496"/>
    <mergeCell ref="B495:B496"/>
    <mergeCell ref="C495:C496"/>
    <mergeCell ref="A477:E477"/>
    <mergeCell ref="A475:I475"/>
    <mergeCell ref="A490:I490"/>
    <mergeCell ref="A491:I491"/>
    <mergeCell ref="A407:D407"/>
    <mergeCell ref="A420:D420"/>
    <mergeCell ref="A433:D433"/>
    <mergeCell ref="A462:D462"/>
    <mergeCell ref="A449:E449"/>
    <mergeCell ref="A404:I404"/>
    <mergeCell ref="A446:I446"/>
    <mergeCell ref="A405:I405"/>
    <mergeCell ref="A447:I447"/>
    <mergeCell ref="A391:D391"/>
    <mergeCell ref="A353:B353"/>
    <mergeCell ref="A365:D365"/>
    <mergeCell ref="A378:D378"/>
    <mergeCell ref="A337:E337"/>
    <mergeCell ref="A362:I362"/>
    <mergeCell ref="A335:I335"/>
    <mergeCell ref="A350:I350"/>
    <mergeCell ref="A363:I363"/>
    <mergeCell ref="A351:I351"/>
    <mergeCell ref="A119:D119"/>
    <mergeCell ref="A174:B174"/>
    <mergeCell ref="A186:D186"/>
    <mergeCell ref="A171:I171"/>
    <mergeCell ref="A212:D212"/>
    <mergeCell ref="A1:I1"/>
    <mergeCell ref="A5:I5"/>
    <mergeCell ref="A11:B11"/>
    <mergeCell ref="A42:D42"/>
    <mergeCell ref="A86:D86"/>
    <mergeCell ref="A2:I2"/>
    <mergeCell ref="A8:I8"/>
    <mergeCell ref="A23:I23"/>
    <mergeCell ref="A117:I117"/>
    <mergeCell ref="A228:E228"/>
    <mergeCell ref="A3:I3"/>
    <mergeCell ref="A102:G102"/>
    <mergeCell ref="C178:G178"/>
    <mergeCell ref="A659:G659"/>
    <mergeCell ref="A660:B660"/>
    <mergeCell ref="A602:D602"/>
    <mergeCell ref="A606:C606"/>
    <mergeCell ref="A609:C609"/>
    <mergeCell ref="A622:G622"/>
    <mergeCell ref="A630:D630"/>
    <mergeCell ref="A632:D632"/>
    <mergeCell ref="A585:I585"/>
    <mergeCell ref="A600:I600"/>
    <mergeCell ref="A658:I658"/>
    <mergeCell ref="A587:D587"/>
    <mergeCell ref="I603:I613"/>
    <mergeCell ref="G603:H608"/>
  </mergeCells>
  <pageMargins left="0.511811024" right="0.511811024" top="0.78740157499999996" bottom="0.78740157499999996" header="0.31496062000000002" footer="0.31496062000000002"/>
  <pageSetup paperSize="9" scale="31" fitToHeight="0" orientation="portrait" horizontalDpi="4294967295" verticalDpi="4294967295"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
  <sheetViews>
    <sheetView showGridLines="0" topLeftCell="A73" zoomScale="115" zoomScaleNormal="115" workbookViewId="0">
      <selection activeCell="C79" sqref="C79"/>
    </sheetView>
  </sheetViews>
  <sheetFormatPr defaultRowHeight="15.75" x14ac:dyDescent="0.25"/>
  <cols>
    <col min="1" max="1" width="9.140625" style="103"/>
    <col min="2" max="2" width="72.140625" style="103" customWidth="1"/>
    <col min="3" max="3" width="18" style="103" customWidth="1"/>
    <col min="4" max="4" width="14.28515625" style="103" customWidth="1"/>
    <col min="5" max="5" width="12.7109375" style="103" customWidth="1"/>
    <col min="6" max="6" width="12" style="103" customWidth="1"/>
    <col min="7" max="7" width="15.140625" style="103" customWidth="1"/>
    <col min="8" max="16384" width="9.140625" style="103"/>
  </cols>
  <sheetData>
    <row r="1" spans="1:4" ht="23.25" x14ac:dyDescent="0.35">
      <c r="A1" s="139" t="s">
        <v>223</v>
      </c>
      <c r="B1" s="139"/>
      <c r="C1" s="139"/>
      <c r="D1" s="139"/>
    </row>
    <row r="2" spans="1:4" ht="23.25" x14ac:dyDescent="0.35">
      <c r="A2" s="139" t="s">
        <v>225</v>
      </c>
      <c r="B2" s="139"/>
      <c r="C2" s="139"/>
      <c r="D2" s="139"/>
    </row>
    <row r="3" spans="1:4" x14ac:dyDescent="0.25">
      <c r="A3" s="163" t="s">
        <v>233</v>
      </c>
      <c r="B3" s="163"/>
      <c r="C3" s="163"/>
      <c r="D3" s="163"/>
    </row>
    <row r="6" spans="1:4" x14ac:dyDescent="0.25">
      <c r="A6" s="162" t="s">
        <v>161</v>
      </c>
      <c r="B6" s="162"/>
      <c r="C6" s="162"/>
    </row>
    <row r="7" spans="1:4" ht="16.5" thickBot="1" x14ac:dyDescent="0.3"/>
    <row r="8" spans="1:4" ht="16.5" thickBot="1" x14ac:dyDescent="0.3">
      <c r="A8" s="95">
        <v>1</v>
      </c>
      <c r="B8" s="96" t="s">
        <v>162</v>
      </c>
      <c r="C8" s="96" t="s">
        <v>163</v>
      </c>
    </row>
    <row r="9" spans="1:4" ht="16.5" thickBot="1" x14ac:dyDescent="0.3">
      <c r="A9" s="97" t="s">
        <v>164</v>
      </c>
      <c r="B9" s="98" t="s">
        <v>165</v>
      </c>
      <c r="C9" s="317">
        <f>'Custo por trabalhador'!B12</f>
        <v>1727.2727272727273</v>
      </c>
    </row>
    <row r="10" spans="1:4" ht="16.5" thickBot="1" x14ac:dyDescent="0.3">
      <c r="A10" s="97" t="s">
        <v>166</v>
      </c>
      <c r="B10" s="98" t="s">
        <v>167</v>
      </c>
      <c r="C10" s="317">
        <v>0</v>
      </c>
    </row>
    <row r="11" spans="1:4" ht="16.5" thickBot="1" x14ac:dyDescent="0.3">
      <c r="A11" s="97" t="s">
        <v>168</v>
      </c>
      <c r="B11" s="98" t="s">
        <v>169</v>
      </c>
      <c r="C11" s="317">
        <f>'Custo por trabalhador'!D44</f>
        <v>324.20000000000005</v>
      </c>
    </row>
    <row r="12" spans="1:4" ht="16.5" thickBot="1" x14ac:dyDescent="0.3">
      <c r="A12" s="97" t="s">
        <v>170</v>
      </c>
      <c r="B12" s="98" t="s">
        <v>11</v>
      </c>
      <c r="C12" s="317">
        <f>'Custo por trabalhador'!E61</f>
        <v>0</v>
      </c>
    </row>
    <row r="13" spans="1:4" ht="16.5" thickBot="1" x14ac:dyDescent="0.3">
      <c r="A13" s="97" t="s">
        <v>171</v>
      </c>
      <c r="B13" s="98" t="s">
        <v>172</v>
      </c>
      <c r="C13" s="317">
        <f>'Custo por trabalhador'!E75</f>
        <v>0</v>
      </c>
    </row>
    <row r="14" spans="1:4" ht="16.5" thickBot="1" x14ac:dyDescent="0.3">
      <c r="A14" s="97"/>
      <c r="B14" s="98"/>
      <c r="C14" s="317"/>
    </row>
    <row r="15" spans="1:4" ht="16.5" thickBot="1" x14ac:dyDescent="0.3">
      <c r="A15" s="97" t="s">
        <v>174</v>
      </c>
      <c r="B15" s="98" t="s">
        <v>175</v>
      </c>
      <c r="C15" s="317">
        <f>'Custo por trabalhador'!D28</f>
        <v>0</v>
      </c>
    </row>
    <row r="16" spans="1:4" ht="16.5" thickBot="1" x14ac:dyDescent="0.3">
      <c r="A16" s="158" t="s">
        <v>14</v>
      </c>
      <c r="B16" s="159"/>
      <c r="C16" s="317">
        <f>SUM(C9:C15)</f>
        <v>2051.4727272727273</v>
      </c>
    </row>
    <row r="19" spans="1:4" x14ac:dyDescent="0.25">
      <c r="A19" s="160" t="s">
        <v>176</v>
      </c>
      <c r="B19" s="160"/>
      <c r="C19" s="160"/>
    </row>
    <row r="20" spans="1:4" x14ac:dyDescent="0.25">
      <c r="A20" s="94"/>
    </row>
    <row r="21" spans="1:4" x14ac:dyDescent="0.25">
      <c r="A21" s="161" t="s">
        <v>177</v>
      </c>
      <c r="B21" s="161"/>
      <c r="C21" s="161"/>
    </row>
    <row r="22" spans="1:4" ht="16.5" thickBot="1" x14ac:dyDescent="0.3"/>
    <row r="23" spans="1:4" ht="16.5" thickBot="1" x14ac:dyDescent="0.3">
      <c r="A23" s="95" t="s">
        <v>178</v>
      </c>
      <c r="B23" s="96" t="s">
        <v>179</v>
      </c>
      <c r="C23" s="96" t="s">
        <v>163</v>
      </c>
    </row>
    <row r="24" spans="1:4" ht="16.5" thickBot="1" x14ac:dyDescent="0.3">
      <c r="A24" s="97" t="s">
        <v>164</v>
      </c>
      <c r="B24" s="98" t="s">
        <v>180</v>
      </c>
      <c r="C24" s="316">
        <f>'Custo por trabalhador'!D121</f>
        <v>170.95606060606059</v>
      </c>
    </row>
    <row r="25" spans="1:4" ht="16.5" thickBot="1" x14ac:dyDescent="0.3">
      <c r="A25" s="97" t="s">
        <v>166</v>
      </c>
      <c r="B25" s="98" t="s">
        <v>181</v>
      </c>
      <c r="C25" s="316">
        <f>'Custo por trabalhador'!D134+'Custo por trabalhador'!E147</f>
        <v>227.9414141414141</v>
      </c>
    </row>
    <row r="26" spans="1:4" ht="16.5" thickBot="1" x14ac:dyDescent="0.3">
      <c r="A26" s="158" t="s">
        <v>14</v>
      </c>
      <c r="B26" s="159"/>
      <c r="C26" s="316">
        <f>SUM(C24:C25)</f>
        <v>398.89747474747469</v>
      </c>
    </row>
    <row r="29" spans="1:4" ht="32.25" customHeight="1" x14ac:dyDescent="0.25">
      <c r="A29" s="164" t="s">
        <v>182</v>
      </c>
      <c r="B29" s="164"/>
      <c r="C29" s="164"/>
      <c r="D29" s="164"/>
    </row>
    <row r="30" spans="1:4" ht="16.5" thickBot="1" x14ac:dyDescent="0.3"/>
    <row r="31" spans="1:4" ht="16.5" thickBot="1" x14ac:dyDescent="0.3">
      <c r="A31" s="95" t="s">
        <v>183</v>
      </c>
      <c r="B31" s="96" t="s">
        <v>184</v>
      </c>
      <c r="C31" s="96" t="s">
        <v>185</v>
      </c>
      <c r="D31" s="96" t="s">
        <v>163</v>
      </c>
    </row>
    <row r="32" spans="1:4" ht="16.5" thickBot="1" x14ac:dyDescent="0.3">
      <c r="A32" s="97" t="s">
        <v>164</v>
      </c>
      <c r="B32" s="98" t="s">
        <v>186</v>
      </c>
      <c r="C32" s="99">
        <v>0.2</v>
      </c>
      <c r="D32" s="316">
        <f>(C26+C16)*C32</f>
        <v>490.07404040404037</v>
      </c>
    </row>
    <row r="33" spans="1:4" ht="16.5" thickBot="1" x14ac:dyDescent="0.3">
      <c r="A33" s="97" t="s">
        <v>166</v>
      </c>
      <c r="B33" s="98" t="s">
        <v>187</v>
      </c>
      <c r="C33" s="99">
        <v>2.5000000000000001E-2</v>
      </c>
      <c r="D33" s="316">
        <f>($C$26+$C$16)*C33</f>
        <v>61.259255050505047</v>
      </c>
    </row>
    <row r="34" spans="1:4" ht="16.5" thickBot="1" x14ac:dyDescent="0.3">
      <c r="A34" s="97" t="s">
        <v>168</v>
      </c>
      <c r="B34" s="98" t="s">
        <v>188</v>
      </c>
      <c r="C34" s="319">
        <f>'Custo por trabalhador'!B178</f>
        <v>0.03</v>
      </c>
      <c r="D34" s="316">
        <f t="shared" ref="D34:D39" si="0">($C$26+$C$16)*C34</f>
        <v>73.511106060606053</v>
      </c>
    </row>
    <row r="35" spans="1:4" ht="16.5" thickBot="1" x14ac:dyDescent="0.3">
      <c r="A35" s="97" t="s">
        <v>170</v>
      </c>
      <c r="B35" s="98" t="s">
        <v>189</v>
      </c>
      <c r="C35" s="99">
        <v>1.4999999999999999E-2</v>
      </c>
      <c r="D35" s="316">
        <f t="shared" si="0"/>
        <v>36.755553030303027</v>
      </c>
    </row>
    <row r="36" spans="1:4" ht="16.5" thickBot="1" x14ac:dyDescent="0.3">
      <c r="A36" s="97" t="s">
        <v>171</v>
      </c>
      <c r="B36" s="98" t="s">
        <v>190</v>
      </c>
      <c r="C36" s="99">
        <v>0.01</v>
      </c>
      <c r="D36" s="316">
        <f t="shared" si="0"/>
        <v>24.503702020202017</v>
      </c>
    </row>
    <row r="37" spans="1:4" ht="16.5" thickBot="1" x14ac:dyDescent="0.3">
      <c r="A37" s="97" t="s">
        <v>173</v>
      </c>
      <c r="B37" s="98" t="s">
        <v>27</v>
      </c>
      <c r="C37" s="99">
        <v>6.0000000000000001E-3</v>
      </c>
      <c r="D37" s="316">
        <f t="shared" si="0"/>
        <v>14.702221212121211</v>
      </c>
    </row>
    <row r="38" spans="1:4" ht="16.5" thickBot="1" x14ac:dyDescent="0.3">
      <c r="A38" s="97" t="s">
        <v>174</v>
      </c>
      <c r="B38" s="98" t="s">
        <v>28</v>
      </c>
      <c r="C38" s="99">
        <v>2E-3</v>
      </c>
      <c r="D38" s="316">
        <f t="shared" si="0"/>
        <v>4.9007404040404037</v>
      </c>
    </row>
    <row r="39" spans="1:4" ht="16.5" thickBot="1" x14ac:dyDescent="0.3">
      <c r="A39" s="97" t="s">
        <v>191</v>
      </c>
      <c r="B39" s="98" t="s">
        <v>29</v>
      </c>
      <c r="C39" s="99">
        <v>0.08</v>
      </c>
      <c r="D39" s="316">
        <f t="shared" si="0"/>
        <v>196.02961616161613</v>
      </c>
    </row>
    <row r="40" spans="1:4" ht="16.5" thickBot="1" x14ac:dyDescent="0.3">
      <c r="A40" s="158" t="s">
        <v>192</v>
      </c>
      <c r="B40" s="159"/>
      <c r="C40" s="99">
        <f>SUM(C32:C39)</f>
        <v>0.36800000000000005</v>
      </c>
      <c r="D40" s="316">
        <f>SUM(D32:D39)</f>
        <v>901.73623434343438</v>
      </c>
    </row>
    <row r="43" spans="1:4" x14ac:dyDescent="0.25">
      <c r="A43" s="161" t="s">
        <v>193</v>
      </c>
      <c r="B43" s="161"/>
      <c r="C43" s="161"/>
    </row>
    <row r="44" spans="1:4" ht="16.5" thickBot="1" x14ac:dyDescent="0.3"/>
    <row r="45" spans="1:4" ht="16.5" thickBot="1" x14ac:dyDescent="0.3">
      <c r="A45" s="95" t="s">
        <v>194</v>
      </c>
      <c r="B45" s="96" t="s">
        <v>195</v>
      </c>
      <c r="C45" s="96" t="s">
        <v>163</v>
      </c>
    </row>
    <row r="46" spans="1:4" ht="16.5" thickBot="1" x14ac:dyDescent="0.3">
      <c r="A46" s="97" t="s">
        <v>164</v>
      </c>
      <c r="B46" s="98" t="s">
        <v>196</v>
      </c>
      <c r="C46" s="316">
        <f>'Custo por trabalhador'!B324</f>
        <v>116.36363636363637</v>
      </c>
    </row>
    <row r="47" spans="1:4" ht="16.5" thickBot="1" x14ac:dyDescent="0.3">
      <c r="A47" s="97" t="s">
        <v>166</v>
      </c>
      <c r="B47" s="98" t="s">
        <v>197</v>
      </c>
      <c r="C47" s="316">
        <f>'Custo por trabalhador'!C324</f>
        <v>720</v>
      </c>
    </row>
    <row r="48" spans="1:4" ht="16.5" thickBot="1" x14ac:dyDescent="0.3">
      <c r="A48" s="97" t="s">
        <v>168</v>
      </c>
      <c r="B48" s="98" t="str">
        <f>'Custo por trabalhador'!D323</f>
        <v>Auxílio Saúde</v>
      </c>
      <c r="C48" s="316">
        <f>'Custo por trabalhador'!D324</f>
        <v>94.5</v>
      </c>
    </row>
    <row r="49" spans="1:3" ht="16.5" thickBot="1" x14ac:dyDescent="0.3">
      <c r="A49" s="97" t="s">
        <v>170</v>
      </c>
      <c r="B49" s="98" t="str">
        <f>'Custo por trabalhador'!E323</f>
        <v>Benefício Social Familiar</v>
      </c>
      <c r="C49" s="316">
        <f>'Custo por trabalhador'!E324</f>
        <v>31</v>
      </c>
    </row>
    <row r="50" spans="1:3" ht="16.5" thickBot="1" x14ac:dyDescent="0.3">
      <c r="A50" s="318" t="s">
        <v>171</v>
      </c>
      <c r="B50" s="98" t="str">
        <f>'Custo por trabalhador'!F323</f>
        <v>Fundo de Formação Profissional</v>
      </c>
      <c r="C50" s="316">
        <f>'Custo por trabalhador'!F324</f>
        <v>31</v>
      </c>
    </row>
    <row r="51" spans="1:3" ht="16.5" thickBot="1" x14ac:dyDescent="0.3">
      <c r="A51" s="158" t="s">
        <v>14</v>
      </c>
      <c r="B51" s="159"/>
      <c r="C51" s="316">
        <f>SUM(C46:C50)</f>
        <v>992.86363636363637</v>
      </c>
    </row>
    <row r="54" spans="1:3" x14ac:dyDescent="0.25">
      <c r="A54" s="161" t="s">
        <v>198</v>
      </c>
      <c r="B54" s="161"/>
      <c r="C54" s="161"/>
    </row>
    <row r="55" spans="1:3" ht="16.5" thickBot="1" x14ac:dyDescent="0.3"/>
    <row r="56" spans="1:3" ht="16.5" thickBot="1" x14ac:dyDescent="0.3">
      <c r="A56" s="95">
        <v>2</v>
      </c>
      <c r="B56" s="96" t="s">
        <v>199</v>
      </c>
      <c r="C56" s="96" t="s">
        <v>163</v>
      </c>
    </row>
    <row r="57" spans="1:3" ht="16.5" thickBot="1" x14ac:dyDescent="0.3">
      <c r="A57" s="97" t="s">
        <v>178</v>
      </c>
      <c r="B57" s="98" t="s">
        <v>179</v>
      </c>
      <c r="C57" s="316">
        <f>C26</f>
        <v>398.89747474747469</v>
      </c>
    </row>
    <row r="58" spans="1:3" ht="16.5" thickBot="1" x14ac:dyDescent="0.3">
      <c r="A58" s="97" t="s">
        <v>183</v>
      </c>
      <c r="B58" s="98" t="s">
        <v>184</v>
      </c>
      <c r="C58" s="316">
        <f>D40</f>
        <v>901.73623434343438</v>
      </c>
    </row>
    <row r="59" spans="1:3" ht="16.5" thickBot="1" x14ac:dyDescent="0.3">
      <c r="A59" s="97" t="s">
        <v>194</v>
      </c>
      <c r="B59" s="98" t="s">
        <v>195</v>
      </c>
      <c r="C59" s="316">
        <f>C51</f>
        <v>992.86363636363637</v>
      </c>
    </row>
    <row r="60" spans="1:3" ht="16.5" thickBot="1" x14ac:dyDescent="0.3">
      <c r="A60" s="158" t="s">
        <v>14</v>
      </c>
      <c r="B60" s="159"/>
      <c r="C60" s="316">
        <f>SUM(C57:C59)</f>
        <v>2293.4973454545457</v>
      </c>
    </row>
    <row r="61" spans="1:3" x14ac:dyDescent="0.25">
      <c r="A61" s="13"/>
    </row>
    <row r="63" spans="1:3" x14ac:dyDescent="0.25">
      <c r="A63" s="160" t="s">
        <v>200</v>
      </c>
      <c r="B63" s="160"/>
      <c r="C63" s="160"/>
    </row>
    <row r="64" spans="1:3" ht="16.5" thickBot="1" x14ac:dyDescent="0.3"/>
    <row r="65" spans="1:3" ht="16.5" thickBot="1" x14ac:dyDescent="0.3">
      <c r="A65" s="95">
        <v>3</v>
      </c>
      <c r="B65" s="96" t="s">
        <v>201</v>
      </c>
      <c r="C65" s="96" t="s">
        <v>163</v>
      </c>
    </row>
    <row r="66" spans="1:3" ht="16.5" thickBot="1" x14ac:dyDescent="0.3">
      <c r="A66" s="97" t="s">
        <v>164</v>
      </c>
      <c r="B66" s="101" t="s">
        <v>321</v>
      </c>
      <c r="C66" s="316">
        <f>'Custo por trabalhador'!D393</f>
        <v>112.86199153968182</v>
      </c>
    </row>
    <row r="67" spans="1:3" x14ac:dyDescent="0.25">
      <c r="A67" s="320" t="s">
        <v>166</v>
      </c>
      <c r="B67" s="321" t="s">
        <v>322</v>
      </c>
      <c r="C67" s="322">
        <f>'Custo por trabalhador'!D435</f>
        <v>159.19625913272222</v>
      </c>
    </row>
    <row r="68" spans="1:3" x14ac:dyDescent="0.25">
      <c r="A68" s="168" t="s">
        <v>168</v>
      </c>
      <c r="B68" s="325" t="s">
        <v>320</v>
      </c>
      <c r="C68" s="315">
        <f>'Custo por trabalhador'!D464</f>
        <v>-3.9889747474747468</v>
      </c>
    </row>
    <row r="69" spans="1:3" ht="16.5" thickBot="1" x14ac:dyDescent="0.3">
      <c r="A69" s="323" t="s">
        <v>14</v>
      </c>
      <c r="B69" s="324"/>
      <c r="C69" s="316">
        <f>SUM(C66:C68)</f>
        <v>268.06927592492929</v>
      </c>
    </row>
    <row r="72" spans="1:3" x14ac:dyDescent="0.25">
      <c r="A72" s="160" t="s">
        <v>202</v>
      </c>
      <c r="B72" s="160"/>
      <c r="C72" s="160"/>
    </row>
    <row r="75" spans="1:3" x14ac:dyDescent="0.25">
      <c r="A75" s="161" t="s">
        <v>203</v>
      </c>
      <c r="B75" s="161"/>
      <c r="C75" s="161"/>
    </row>
    <row r="76" spans="1:3" ht="16.5" thickBot="1" x14ac:dyDescent="0.3">
      <c r="A76" s="94"/>
    </row>
    <row r="77" spans="1:3" ht="16.5" thickBot="1" x14ac:dyDescent="0.3">
      <c r="A77" s="95" t="s">
        <v>204</v>
      </c>
      <c r="B77" s="96" t="s">
        <v>205</v>
      </c>
      <c r="C77" s="96" t="s">
        <v>163</v>
      </c>
    </row>
    <row r="78" spans="1:3" ht="16.5" thickBot="1" x14ac:dyDescent="0.3">
      <c r="A78" s="97" t="s">
        <v>164</v>
      </c>
      <c r="B78" s="98" t="s">
        <v>18</v>
      </c>
      <c r="C78" s="316">
        <f>'Custo por trabalhador'!G497*'Custo por trabalhador'!D532/12</f>
        <v>268.5673593393405</v>
      </c>
    </row>
    <row r="79" spans="1:3" ht="16.5" thickBot="1" x14ac:dyDescent="0.3">
      <c r="A79" s="97" t="s">
        <v>166</v>
      </c>
      <c r="B79" s="98" t="s">
        <v>205</v>
      </c>
      <c r="C79" s="316">
        <f>'Custo por trabalhador'!D532*'Custo por trabalhador'!C498/12</f>
        <v>12.813998190700559</v>
      </c>
    </row>
    <row r="80" spans="1:3" ht="16.5" thickBot="1" x14ac:dyDescent="0.3">
      <c r="A80" s="97" t="s">
        <v>168</v>
      </c>
      <c r="B80" s="98" t="s">
        <v>206</v>
      </c>
      <c r="C80" s="316">
        <f>'Custo por trabalhador'!D532*'Custo por trabalhador'!G506/12</f>
        <v>2.5603421590350464</v>
      </c>
    </row>
    <row r="81" spans="1:3" ht="16.5" thickBot="1" x14ac:dyDescent="0.3">
      <c r="A81" s="97" t="s">
        <v>170</v>
      </c>
      <c r="B81" s="98" t="s">
        <v>207</v>
      </c>
      <c r="C81" s="316">
        <f>'Custo por trabalhador'!D532*'Custo por trabalhador'!G499/12</f>
        <v>12.380955265543596</v>
      </c>
    </row>
    <row r="82" spans="1:3" ht="16.5" thickBot="1" x14ac:dyDescent="0.3">
      <c r="A82" s="97" t="s">
        <v>171</v>
      </c>
      <c r="B82" s="98" t="s">
        <v>208</v>
      </c>
      <c r="C82" s="316">
        <f>'Custo por trabalhador'!D532*'Custo por trabalhador'!G507/12</f>
        <v>31.744661873910044</v>
      </c>
    </row>
    <row r="83" spans="1:3" ht="16.5" thickBot="1" x14ac:dyDescent="0.3">
      <c r="A83" s="97" t="s">
        <v>173</v>
      </c>
      <c r="B83" s="98" t="s">
        <v>175</v>
      </c>
      <c r="C83" s="316">
        <f>'Custo por trabalhador'!E545-C78-C79-C80-C81-C82</f>
        <v>49.635882109365284</v>
      </c>
    </row>
    <row r="84" spans="1:3" ht="16.5" thickBot="1" x14ac:dyDescent="0.3">
      <c r="A84" s="158" t="s">
        <v>192</v>
      </c>
      <c r="B84" s="159"/>
      <c r="C84" s="316">
        <f>SUM(C78:C83)</f>
        <v>377.70319893789502</v>
      </c>
    </row>
    <row r="87" spans="1:3" x14ac:dyDescent="0.25">
      <c r="A87" s="161" t="s">
        <v>209</v>
      </c>
      <c r="B87" s="161"/>
      <c r="C87" s="161"/>
    </row>
    <row r="88" spans="1:3" ht="16.5" thickBot="1" x14ac:dyDescent="0.3">
      <c r="A88" s="94"/>
    </row>
    <row r="89" spans="1:3" ht="16.5" thickBot="1" x14ac:dyDescent="0.3">
      <c r="A89" s="95" t="s">
        <v>210</v>
      </c>
      <c r="B89" s="96" t="s">
        <v>211</v>
      </c>
      <c r="C89" s="96" t="s">
        <v>163</v>
      </c>
    </row>
    <row r="90" spans="1:3" ht="16.5" thickBot="1" x14ac:dyDescent="0.3">
      <c r="A90" s="97" t="s">
        <v>164</v>
      </c>
      <c r="B90" s="98" t="s">
        <v>234</v>
      </c>
      <c r="C90" s="316">
        <f>'Custo por trabalhador'!D574</f>
        <v>0</v>
      </c>
    </row>
    <row r="91" spans="1:3" ht="16.5" thickBot="1" x14ac:dyDescent="0.3">
      <c r="A91" s="158" t="s">
        <v>14</v>
      </c>
      <c r="B91" s="159"/>
      <c r="C91" s="316">
        <f>SUM(C90)</f>
        <v>0</v>
      </c>
    </row>
    <row r="94" spans="1:3" x14ac:dyDescent="0.25">
      <c r="A94" s="161" t="s">
        <v>212</v>
      </c>
      <c r="B94" s="161"/>
      <c r="C94" s="161"/>
    </row>
    <row r="95" spans="1:3" ht="16.5" thickBot="1" x14ac:dyDescent="0.3">
      <c r="A95" s="94"/>
    </row>
    <row r="96" spans="1:3" ht="16.5" thickBot="1" x14ac:dyDescent="0.3">
      <c r="A96" s="95">
        <v>4</v>
      </c>
      <c r="B96" s="96" t="s">
        <v>213</v>
      </c>
      <c r="C96" s="96" t="s">
        <v>163</v>
      </c>
    </row>
    <row r="97" spans="1:3" ht="16.5" thickBot="1" x14ac:dyDescent="0.3">
      <c r="A97" s="97" t="s">
        <v>204</v>
      </c>
      <c r="B97" s="98" t="s">
        <v>205</v>
      </c>
      <c r="C97" s="316">
        <f>C84</f>
        <v>377.70319893789502</v>
      </c>
    </row>
    <row r="98" spans="1:3" ht="16.5" thickBot="1" x14ac:dyDescent="0.3">
      <c r="A98" s="97" t="s">
        <v>210</v>
      </c>
      <c r="B98" s="98" t="s">
        <v>211</v>
      </c>
      <c r="C98" s="316">
        <f>C91</f>
        <v>0</v>
      </c>
    </row>
    <row r="99" spans="1:3" ht="16.5" thickBot="1" x14ac:dyDescent="0.3">
      <c r="A99" s="158" t="s">
        <v>14</v>
      </c>
      <c r="B99" s="159"/>
      <c r="C99" s="316">
        <f>SUM(C97:C98)</f>
        <v>377.70319893789502</v>
      </c>
    </row>
    <row r="102" spans="1:3" x14ac:dyDescent="0.25">
      <c r="A102" s="160" t="s">
        <v>214</v>
      </c>
      <c r="B102" s="160"/>
      <c r="C102" s="160"/>
    </row>
    <row r="103" spans="1:3" ht="16.5" thickBot="1" x14ac:dyDescent="0.3"/>
    <row r="104" spans="1:3" ht="16.5" thickBot="1" x14ac:dyDescent="0.3">
      <c r="A104" s="95">
        <v>5</v>
      </c>
      <c r="B104" s="102" t="s">
        <v>124</v>
      </c>
      <c r="C104" s="96" t="s">
        <v>163</v>
      </c>
    </row>
    <row r="105" spans="1:3" ht="16.5" thickBot="1" x14ac:dyDescent="0.3">
      <c r="A105" s="97" t="s">
        <v>164</v>
      </c>
      <c r="B105" s="98" t="s">
        <v>215</v>
      </c>
      <c r="C105" s="316">
        <f>'Custo por trabalhador'!C611</f>
        <v>19.797500000000003</v>
      </c>
    </row>
    <row r="106" spans="1:3" ht="16.5" thickBot="1" x14ac:dyDescent="0.3">
      <c r="A106" s="97" t="s">
        <v>166</v>
      </c>
      <c r="B106" s="98" t="s">
        <v>216</v>
      </c>
      <c r="C106" s="316">
        <v>0</v>
      </c>
    </row>
    <row r="107" spans="1:3" ht="16.5" thickBot="1" x14ac:dyDescent="0.3">
      <c r="A107" s="97" t="s">
        <v>168</v>
      </c>
      <c r="B107" s="326" t="s">
        <v>314</v>
      </c>
      <c r="C107" s="316">
        <f>'Custo por trabalhador'!D634</f>
        <v>81.795833333333334</v>
      </c>
    </row>
    <row r="108" spans="1:3" ht="16.5" thickBot="1" x14ac:dyDescent="0.3">
      <c r="A108" s="97" t="s">
        <v>170</v>
      </c>
      <c r="B108" s="98" t="s">
        <v>175</v>
      </c>
      <c r="C108" s="317">
        <v>0</v>
      </c>
    </row>
    <row r="109" spans="1:3" ht="16.5" thickBot="1" x14ac:dyDescent="0.3">
      <c r="A109" s="158" t="s">
        <v>192</v>
      </c>
      <c r="B109" s="159"/>
      <c r="C109" s="316">
        <f>SUM(C105:C108)</f>
        <v>101.59333333333333</v>
      </c>
    </row>
    <row r="112" spans="1:3" x14ac:dyDescent="0.25">
      <c r="A112" s="160" t="s">
        <v>217</v>
      </c>
      <c r="B112" s="160"/>
      <c r="C112" s="160"/>
    </row>
    <row r="113" spans="1:5" ht="16.5" thickBot="1" x14ac:dyDescent="0.3"/>
    <row r="114" spans="1:5" ht="16.5" thickBot="1" x14ac:dyDescent="0.3">
      <c r="A114" s="95">
        <v>6</v>
      </c>
      <c r="B114" s="102" t="s">
        <v>125</v>
      </c>
      <c r="C114" s="96" t="s">
        <v>185</v>
      </c>
      <c r="D114" s="96" t="s">
        <v>163</v>
      </c>
    </row>
    <row r="115" spans="1:5" ht="16.5" thickBot="1" x14ac:dyDescent="0.3">
      <c r="A115" s="97" t="s">
        <v>164</v>
      </c>
      <c r="B115" s="98" t="s">
        <v>148</v>
      </c>
      <c r="C115" s="99">
        <f>'Custo por trabalhador'!B661</f>
        <v>0.03</v>
      </c>
      <c r="D115" s="316">
        <f>'Custo por trabalhador'!B667*'A - SERV GERAIS HIGIENE 40H'!C115</f>
        <v>152.77007642770289</v>
      </c>
    </row>
    <row r="116" spans="1:5" ht="16.5" thickBot="1" x14ac:dyDescent="0.3">
      <c r="A116" s="97" t="s">
        <v>166</v>
      </c>
      <c r="B116" s="98" t="s">
        <v>150</v>
      </c>
      <c r="C116" s="99">
        <f>'Custo por trabalhador'!B663</f>
        <v>6.7900000000000002E-2</v>
      </c>
      <c r="D116" s="316">
        <f>'Custo por trabalhador'!B697*'Custo por trabalhador'!B663</f>
        <v>406.74131396087472</v>
      </c>
    </row>
    <row r="117" spans="1:5" ht="16.5" thickBot="1" x14ac:dyDescent="0.3">
      <c r="A117" s="97" t="s">
        <v>168</v>
      </c>
      <c r="B117" s="98" t="s">
        <v>149</v>
      </c>
      <c r="C117" s="99">
        <f>'Custo por trabalhador'!B662</f>
        <v>5.6500000000000002E-2</v>
      </c>
      <c r="D117" s="316">
        <f>'Custo por trabalhador'!B697*'A - SERV GERAIS HIGIENE 40H'!C117</f>
        <v>338.45190336950543</v>
      </c>
    </row>
    <row r="118" spans="1:5" ht="16.5" thickBot="1" x14ac:dyDescent="0.3">
      <c r="A118" s="97"/>
      <c r="B118" s="98" t="s">
        <v>324</v>
      </c>
      <c r="C118" s="331">
        <v>6.4999999999999997E-3</v>
      </c>
      <c r="D118" s="329">
        <f>'Custo por trabalhador'!B697*0.65%</f>
        <v>38.936944635429832</v>
      </c>
    </row>
    <row r="119" spans="1:5" ht="16.5" thickBot="1" x14ac:dyDescent="0.3">
      <c r="A119" s="97"/>
      <c r="B119" s="98" t="s">
        <v>325</v>
      </c>
      <c r="C119" s="327">
        <v>0.03</v>
      </c>
      <c r="D119" s="329">
        <f>'Custo por trabalhador'!B697*3%</f>
        <v>179.70897524044537</v>
      </c>
    </row>
    <row r="120" spans="1:5" ht="16.5" thickBot="1" x14ac:dyDescent="0.3">
      <c r="A120" s="97"/>
      <c r="B120" s="98" t="s">
        <v>323</v>
      </c>
      <c r="C120" s="327">
        <v>0.02</v>
      </c>
      <c r="D120" s="329">
        <f>'Custo por trabalhador'!B697*2%</f>
        <v>119.80598349363025</v>
      </c>
      <c r="E120" s="328"/>
    </row>
    <row r="121" spans="1:5" ht="16.5" thickBot="1" x14ac:dyDescent="0.3">
      <c r="A121" s="158" t="s">
        <v>192</v>
      </c>
      <c r="B121" s="159"/>
      <c r="C121" s="327"/>
      <c r="D121" s="316">
        <f>SUM(D115:D117)</f>
        <v>897.96329375808307</v>
      </c>
    </row>
    <row r="124" spans="1:5" x14ac:dyDescent="0.25">
      <c r="A124" s="160" t="s">
        <v>218</v>
      </c>
      <c r="B124" s="160"/>
      <c r="C124" s="160"/>
    </row>
    <row r="125" spans="1:5" ht="16.5" thickBot="1" x14ac:dyDescent="0.3"/>
    <row r="126" spans="1:5" ht="16.5" thickBot="1" x14ac:dyDescent="0.3">
      <c r="A126" s="95"/>
      <c r="B126" s="96" t="s">
        <v>219</v>
      </c>
      <c r="C126" s="96" t="s">
        <v>163</v>
      </c>
    </row>
    <row r="127" spans="1:5" ht="16.5" thickBot="1" x14ac:dyDescent="0.3">
      <c r="A127" s="104" t="s">
        <v>164</v>
      </c>
      <c r="B127" s="98" t="s">
        <v>161</v>
      </c>
      <c r="C127" s="330">
        <f>C16</f>
        <v>2051.4727272727273</v>
      </c>
    </row>
    <row r="128" spans="1:5" ht="16.5" thickBot="1" x14ac:dyDescent="0.3">
      <c r="A128" s="104" t="s">
        <v>166</v>
      </c>
      <c r="B128" s="98" t="s">
        <v>176</v>
      </c>
      <c r="C128" s="330">
        <f>C60</f>
        <v>2293.4973454545457</v>
      </c>
    </row>
    <row r="129" spans="1:3" ht="16.5" thickBot="1" x14ac:dyDescent="0.3">
      <c r="A129" s="104" t="s">
        <v>168</v>
      </c>
      <c r="B129" s="98" t="s">
        <v>200</v>
      </c>
      <c r="C129" s="330">
        <f>C69</f>
        <v>268.06927592492929</v>
      </c>
    </row>
    <row r="130" spans="1:3" ht="16.5" thickBot="1" x14ac:dyDescent="0.3">
      <c r="A130" s="104" t="s">
        <v>170</v>
      </c>
      <c r="B130" s="98" t="s">
        <v>202</v>
      </c>
      <c r="C130" s="330">
        <f>C99</f>
        <v>377.70319893789502</v>
      </c>
    </row>
    <row r="131" spans="1:3" ht="16.5" thickBot="1" x14ac:dyDescent="0.3">
      <c r="A131" s="104" t="s">
        <v>171</v>
      </c>
      <c r="B131" s="98" t="s">
        <v>214</v>
      </c>
      <c r="C131" s="330">
        <f>C109</f>
        <v>101.59333333333333</v>
      </c>
    </row>
    <row r="132" spans="1:3" ht="16.5" thickBot="1" x14ac:dyDescent="0.3">
      <c r="A132" s="158" t="s">
        <v>220</v>
      </c>
      <c r="B132" s="159"/>
      <c r="C132" s="330">
        <f>SUM(C127:C131)</f>
        <v>5092.3358809234305</v>
      </c>
    </row>
    <row r="133" spans="1:3" ht="16.5" thickBot="1" x14ac:dyDescent="0.3">
      <c r="A133" s="104" t="s">
        <v>173</v>
      </c>
      <c r="B133" s="98" t="s">
        <v>221</v>
      </c>
      <c r="C133" s="330">
        <f>D121</f>
        <v>897.96329375808307</v>
      </c>
    </row>
    <row r="134" spans="1:3" ht="16.5" thickBot="1" x14ac:dyDescent="0.3">
      <c r="A134" s="158" t="s">
        <v>222</v>
      </c>
      <c r="B134" s="159"/>
      <c r="C134" s="330">
        <f>C132+C133</f>
        <v>5990.2991746815133</v>
      </c>
    </row>
  </sheetData>
  <mergeCells count="30">
    <mergeCell ref="A3:D3"/>
    <mergeCell ref="A21:C21"/>
    <mergeCell ref="A40:B40"/>
    <mergeCell ref="A29:D29"/>
    <mergeCell ref="A132:B132"/>
    <mergeCell ref="A134:B134"/>
    <mergeCell ref="A124:C124"/>
    <mergeCell ref="A72:C72"/>
    <mergeCell ref="A84:B84"/>
    <mergeCell ref="A75:C75"/>
    <mergeCell ref="A91:B91"/>
    <mergeCell ref="A87:C87"/>
    <mergeCell ref="A99:B99"/>
    <mergeCell ref="A94:C94"/>
    <mergeCell ref="A1:D1"/>
    <mergeCell ref="A2:D2"/>
    <mergeCell ref="A109:B109"/>
    <mergeCell ref="A102:C102"/>
    <mergeCell ref="A121:B121"/>
    <mergeCell ref="A112:C112"/>
    <mergeCell ref="A51:B51"/>
    <mergeCell ref="A43:C43"/>
    <mergeCell ref="A60:B60"/>
    <mergeCell ref="A54:C54"/>
    <mergeCell ref="A69:B69"/>
    <mergeCell ref="A63:C63"/>
    <mergeCell ref="A16:B16"/>
    <mergeCell ref="A6:C6"/>
    <mergeCell ref="A26:B26"/>
    <mergeCell ref="A19:C19"/>
  </mergeCells>
  <pageMargins left="0.511811024" right="0.511811024" top="0.78740157499999996" bottom="0.78740157499999996" header="0.31496062000000002" footer="0.31496062000000002"/>
  <pageSetup paperSize="9" scale="8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
  <sheetViews>
    <sheetView showGridLines="0" topLeftCell="A97" zoomScale="115" zoomScaleNormal="115" workbookViewId="0">
      <selection activeCell="D117" sqref="D117"/>
    </sheetView>
  </sheetViews>
  <sheetFormatPr defaultRowHeight="15.75" x14ac:dyDescent="0.25"/>
  <cols>
    <col min="1" max="1" width="9.140625" style="103"/>
    <col min="2" max="2" width="72.140625" style="103" customWidth="1"/>
    <col min="3" max="3" width="18" style="103" customWidth="1"/>
    <col min="4" max="4" width="14.28515625" style="103" customWidth="1"/>
    <col min="5" max="5" width="12.7109375" style="103" customWidth="1"/>
    <col min="6" max="6" width="12" style="103" customWidth="1"/>
    <col min="7" max="7" width="15.140625" style="103" customWidth="1"/>
    <col min="8" max="16384" width="9.140625" style="103"/>
  </cols>
  <sheetData>
    <row r="1" spans="1:4" ht="23.25" x14ac:dyDescent="0.35">
      <c r="A1" s="139" t="s">
        <v>223</v>
      </c>
      <c r="B1" s="139"/>
      <c r="C1" s="139"/>
      <c r="D1" s="139"/>
    </row>
    <row r="2" spans="1:4" ht="23.25" x14ac:dyDescent="0.35">
      <c r="A2" s="139" t="s">
        <v>225</v>
      </c>
      <c r="B2" s="139"/>
      <c r="C2" s="139"/>
      <c r="D2" s="139"/>
    </row>
    <row r="3" spans="1:4" x14ac:dyDescent="0.25">
      <c r="A3" s="163" t="s">
        <v>233</v>
      </c>
      <c r="B3" s="163"/>
      <c r="C3" s="163"/>
      <c r="D3" s="163"/>
    </row>
    <row r="6" spans="1:4" x14ac:dyDescent="0.25">
      <c r="A6" s="162" t="s">
        <v>161</v>
      </c>
      <c r="B6" s="162"/>
      <c r="C6" s="162"/>
    </row>
    <row r="7" spans="1:4" ht="16.5" thickBot="1" x14ac:dyDescent="0.3"/>
    <row r="8" spans="1:4" ht="16.5" thickBot="1" x14ac:dyDescent="0.3">
      <c r="A8" s="95">
        <v>1</v>
      </c>
      <c r="B8" s="121" t="s">
        <v>162</v>
      </c>
      <c r="C8" s="121" t="s">
        <v>163</v>
      </c>
    </row>
    <row r="9" spans="1:4" ht="16.5" thickBot="1" x14ac:dyDescent="0.3">
      <c r="A9" s="97" t="s">
        <v>164</v>
      </c>
      <c r="B9" s="98" t="s">
        <v>165</v>
      </c>
      <c r="C9" s="317">
        <f>'Custo por trabalhador'!B13</f>
        <v>1900</v>
      </c>
    </row>
    <row r="10" spans="1:4" ht="16.5" thickBot="1" x14ac:dyDescent="0.3">
      <c r="A10" s="97" t="s">
        <v>166</v>
      </c>
      <c r="B10" s="98" t="s">
        <v>167</v>
      </c>
      <c r="C10" s="317">
        <v>0</v>
      </c>
    </row>
    <row r="11" spans="1:4" ht="16.5" thickBot="1" x14ac:dyDescent="0.3">
      <c r="A11" s="97" t="s">
        <v>168</v>
      </c>
      <c r="B11" s="98" t="s">
        <v>169</v>
      </c>
      <c r="C11" s="317">
        <f>'Custo por trabalhador'!D45</f>
        <v>324.20000000000005</v>
      </c>
    </row>
    <row r="12" spans="1:4" ht="16.5" thickBot="1" x14ac:dyDescent="0.3">
      <c r="A12" s="97" t="s">
        <v>170</v>
      </c>
      <c r="B12" s="98" t="s">
        <v>11</v>
      </c>
      <c r="C12" s="317">
        <f>'Custo por trabalhador'!E61</f>
        <v>0</v>
      </c>
    </row>
    <row r="13" spans="1:4" ht="16.5" thickBot="1" x14ac:dyDescent="0.3">
      <c r="A13" s="97" t="s">
        <v>171</v>
      </c>
      <c r="B13" s="98" t="s">
        <v>172</v>
      </c>
      <c r="C13" s="317">
        <f>'Custo por trabalhador'!E75</f>
        <v>0</v>
      </c>
    </row>
    <row r="14" spans="1:4" ht="16.5" thickBot="1" x14ac:dyDescent="0.3">
      <c r="A14" s="97"/>
      <c r="B14" s="98"/>
      <c r="C14" s="317"/>
    </row>
    <row r="15" spans="1:4" ht="16.5" thickBot="1" x14ac:dyDescent="0.3">
      <c r="A15" s="97" t="s">
        <v>174</v>
      </c>
      <c r="B15" s="98" t="s">
        <v>175</v>
      </c>
      <c r="C15" s="317">
        <f>'Custo por trabalhador'!D28</f>
        <v>0</v>
      </c>
    </row>
    <row r="16" spans="1:4" ht="16.5" thickBot="1" x14ac:dyDescent="0.3">
      <c r="A16" s="158" t="s">
        <v>14</v>
      </c>
      <c r="B16" s="159"/>
      <c r="C16" s="317">
        <f>SUM(C9:C15)</f>
        <v>2224.1999999999998</v>
      </c>
    </row>
    <row r="19" spans="1:4" x14ac:dyDescent="0.25">
      <c r="A19" s="160" t="s">
        <v>176</v>
      </c>
      <c r="B19" s="160"/>
      <c r="C19" s="160"/>
    </row>
    <row r="20" spans="1:4" x14ac:dyDescent="0.25">
      <c r="A20" s="94"/>
    </row>
    <row r="21" spans="1:4" x14ac:dyDescent="0.25">
      <c r="A21" s="161" t="s">
        <v>177</v>
      </c>
      <c r="B21" s="161"/>
      <c r="C21" s="161"/>
    </row>
    <row r="22" spans="1:4" ht="16.5" thickBot="1" x14ac:dyDescent="0.3"/>
    <row r="23" spans="1:4" ht="16.5" thickBot="1" x14ac:dyDescent="0.3">
      <c r="A23" s="95" t="s">
        <v>178</v>
      </c>
      <c r="B23" s="121" t="s">
        <v>179</v>
      </c>
      <c r="C23" s="121" t="s">
        <v>163</v>
      </c>
    </row>
    <row r="24" spans="1:4" ht="16.5" thickBot="1" x14ac:dyDescent="0.3">
      <c r="A24" s="97" t="s">
        <v>164</v>
      </c>
      <c r="B24" s="98" t="s">
        <v>180</v>
      </c>
      <c r="C24" s="316">
        <f>'Custo por trabalhador'!D122</f>
        <v>185.34999999999997</v>
      </c>
    </row>
    <row r="25" spans="1:4" ht="16.5" thickBot="1" x14ac:dyDescent="0.3">
      <c r="A25" s="97" t="s">
        <v>166</v>
      </c>
      <c r="B25" s="98" t="s">
        <v>181</v>
      </c>
      <c r="C25" s="316">
        <f>'Custo por trabalhador'!D135+'Custo por trabalhador'!E148</f>
        <v>247.13333333333327</v>
      </c>
    </row>
    <row r="26" spans="1:4" ht="16.5" thickBot="1" x14ac:dyDescent="0.3">
      <c r="A26" s="158" t="s">
        <v>14</v>
      </c>
      <c r="B26" s="159"/>
      <c r="C26" s="316">
        <f>SUM(C24:C25)</f>
        <v>432.48333333333323</v>
      </c>
    </row>
    <row r="29" spans="1:4" ht="32.25" customHeight="1" x14ac:dyDescent="0.25">
      <c r="A29" s="164" t="s">
        <v>182</v>
      </c>
      <c r="B29" s="164"/>
      <c r="C29" s="164"/>
      <c r="D29" s="164"/>
    </row>
    <row r="30" spans="1:4" ht="16.5" thickBot="1" x14ac:dyDescent="0.3"/>
    <row r="31" spans="1:4" ht="16.5" thickBot="1" x14ac:dyDescent="0.3">
      <c r="A31" s="95" t="s">
        <v>183</v>
      </c>
      <c r="B31" s="121" t="s">
        <v>184</v>
      </c>
      <c r="C31" s="121" t="s">
        <v>185</v>
      </c>
      <c r="D31" s="121" t="s">
        <v>163</v>
      </c>
    </row>
    <row r="32" spans="1:4" ht="16.5" thickBot="1" x14ac:dyDescent="0.3">
      <c r="A32" s="97" t="s">
        <v>164</v>
      </c>
      <c r="B32" s="98" t="s">
        <v>186</v>
      </c>
      <c r="C32" s="99">
        <v>0.2</v>
      </c>
      <c r="D32" s="316">
        <f>(C26+C16)*C32</f>
        <v>531.33666666666659</v>
      </c>
    </row>
    <row r="33" spans="1:4" ht="16.5" thickBot="1" x14ac:dyDescent="0.3">
      <c r="A33" s="97" t="s">
        <v>166</v>
      </c>
      <c r="B33" s="98" t="s">
        <v>187</v>
      </c>
      <c r="C33" s="99">
        <v>2.5000000000000001E-2</v>
      </c>
      <c r="D33" s="316">
        <f>($C$26+$C$16)*C33</f>
        <v>66.417083333333323</v>
      </c>
    </row>
    <row r="34" spans="1:4" ht="16.5" thickBot="1" x14ac:dyDescent="0.3">
      <c r="A34" s="97" t="s">
        <v>168</v>
      </c>
      <c r="B34" s="98" t="s">
        <v>188</v>
      </c>
      <c r="C34" s="319">
        <f>'Custo por trabalhador'!B178</f>
        <v>0.03</v>
      </c>
      <c r="D34" s="316">
        <f>($C$26+$C$16)*C34</f>
        <v>79.700499999999991</v>
      </c>
    </row>
    <row r="35" spans="1:4" ht="16.5" thickBot="1" x14ac:dyDescent="0.3">
      <c r="A35" s="97" t="s">
        <v>170</v>
      </c>
      <c r="B35" s="98" t="s">
        <v>189</v>
      </c>
      <c r="C35" s="99">
        <v>1.4999999999999999E-2</v>
      </c>
      <c r="D35" s="316">
        <f t="shared" ref="D35:D39" si="0">($C$26+$C$16)*C35</f>
        <v>39.850249999999996</v>
      </c>
    </row>
    <row r="36" spans="1:4" ht="16.5" thickBot="1" x14ac:dyDescent="0.3">
      <c r="A36" s="97" t="s">
        <v>171</v>
      </c>
      <c r="B36" s="98" t="s">
        <v>190</v>
      </c>
      <c r="C36" s="99">
        <v>0.01</v>
      </c>
      <c r="D36" s="316">
        <f t="shared" si="0"/>
        <v>26.566833333333332</v>
      </c>
    </row>
    <row r="37" spans="1:4" ht="16.5" thickBot="1" x14ac:dyDescent="0.3">
      <c r="A37" s="97" t="s">
        <v>173</v>
      </c>
      <c r="B37" s="98" t="s">
        <v>27</v>
      </c>
      <c r="C37" s="99">
        <v>6.0000000000000001E-3</v>
      </c>
      <c r="D37" s="316">
        <f t="shared" si="0"/>
        <v>15.940099999999997</v>
      </c>
    </row>
    <row r="38" spans="1:4" ht="16.5" thickBot="1" x14ac:dyDescent="0.3">
      <c r="A38" s="97" t="s">
        <v>174</v>
      </c>
      <c r="B38" s="98" t="s">
        <v>28</v>
      </c>
      <c r="C38" s="99">
        <v>2E-3</v>
      </c>
      <c r="D38" s="316">
        <f t="shared" si="0"/>
        <v>5.3133666666666661</v>
      </c>
    </row>
    <row r="39" spans="1:4" ht="16.5" thickBot="1" x14ac:dyDescent="0.3">
      <c r="A39" s="97" t="s">
        <v>191</v>
      </c>
      <c r="B39" s="98" t="s">
        <v>29</v>
      </c>
      <c r="C39" s="99">
        <v>0.08</v>
      </c>
      <c r="D39" s="316">
        <f t="shared" si="0"/>
        <v>212.53466666666665</v>
      </c>
    </row>
    <row r="40" spans="1:4" ht="16.5" thickBot="1" x14ac:dyDescent="0.3">
      <c r="A40" s="158" t="s">
        <v>192</v>
      </c>
      <c r="B40" s="159"/>
      <c r="C40" s="99">
        <f>SUM(C32:C39)</f>
        <v>0.36800000000000005</v>
      </c>
      <c r="D40" s="316">
        <f>SUM(D32:D39)</f>
        <v>977.6594666666665</v>
      </c>
    </row>
    <row r="43" spans="1:4" x14ac:dyDescent="0.25">
      <c r="A43" s="161" t="s">
        <v>193</v>
      </c>
      <c r="B43" s="161"/>
      <c r="C43" s="161"/>
    </row>
    <row r="44" spans="1:4" ht="16.5" thickBot="1" x14ac:dyDescent="0.3"/>
    <row r="45" spans="1:4" ht="16.5" thickBot="1" x14ac:dyDescent="0.3">
      <c r="A45" s="95" t="s">
        <v>194</v>
      </c>
      <c r="B45" s="121" t="s">
        <v>195</v>
      </c>
      <c r="C45" s="121" t="s">
        <v>163</v>
      </c>
    </row>
    <row r="46" spans="1:4" ht="16.5" thickBot="1" x14ac:dyDescent="0.3">
      <c r="A46" s="97" t="s">
        <v>164</v>
      </c>
      <c r="B46" s="98" t="s">
        <v>196</v>
      </c>
      <c r="C46" s="316">
        <f>'Custo por trabalhador'!D257</f>
        <v>93</v>
      </c>
    </row>
    <row r="47" spans="1:4" ht="16.5" thickBot="1" x14ac:dyDescent="0.3">
      <c r="A47" s="97" t="s">
        <v>166</v>
      </c>
      <c r="B47" s="98" t="s">
        <v>197</v>
      </c>
      <c r="C47" s="316">
        <f>'Custo por trabalhador'!D297</f>
        <v>720</v>
      </c>
    </row>
    <row r="48" spans="1:4" ht="16.5" thickBot="1" x14ac:dyDescent="0.3">
      <c r="A48" s="97" t="s">
        <v>168</v>
      </c>
      <c r="B48" s="98" t="str">
        <f>'Custo por trabalhador'!D323</f>
        <v>Auxílio Saúde</v>
      </c>
      <c r="C48" s="316">
        <f>'Custo por trabalhador'!B312</f>
        <v>94.5</v>
      </c>
    </row>
    <row r="49" spans="1:3" ht="16.5" thickBot="1" x14ac:dyDescent="0.3">
      <c r="A49" s="97" t="s">
        <v>170</v>
      </c>
      <c r="B49" s="98" t="str">
        <f>'Custo por trabalhador'!E323</f>
        <v>Benefício Social Familiar</v>
      </c>
      <c r="C49" s="316">
        <f>'Custo por trabalhador'!C312</f>
        <v>31</v>
      </c>
    </row>
    <row r="50" spans="1:3" ht="16.5" thickBot="1" x14ac:dyDescent="0.3">
      <c r="A50" s="318" t="s">
        <v>171</v>
      </c>
      <c r="B50" s="98" t="str">
        <f>'Custo por trabalhador'!F323</f>
        <v>Fundo de Formação Profissional</v>
      </c>
      <c r="C50" s="316">
        <f>'Custo por trabalhador'!D312</f>
        <v>31</v>
      </c>
    </row>
    <row r="51" spans="1:3" ht="16.5" thickBot="1" x14ac:dyDescent="0.3">
      <c r="A51" s="158" t="s">
        <v>14</v>
      </c>
      <c r="B51" s="159"/>
      <c r="C51" s="316">
        <f>SUM(C46:C50)</f>
        <v>969.5</v>
      </c>
    </row>
    <row r="54" spans="1:3" x14ac:dyDescent="0.25">
      <c r="A54" s="161" t="s">
        <v>198</v>
      </c>
      <c r="B54" s="161"/>
      <c r="C54" s="161"/>
    </row>
    <row r="55" spans="1:3" ht="16.5" thickBot="1" x14ac:dyDescent="0.3"/>
    <row r="56" spans="1:3" ht="16.5" thickBot="1" x14ac:dyDescent="0.3">
      <c r="A56" s="95">
        <v>2</v>
      </c>
      <c r="B56" s="121" t="s">
        <v>199</v>
      </c>
      <c r="C56" s="121" t="s">
        <v>163</v>
      </c>
    </row>
    <row r="57" spans="1:3" ht="16.5" thickBot="1" x14ac:dyDescent="0.3">
      <c r="A57" s="97" t="s">
        <v>178</v>
      </c>
      <c r="B57" s="98" t="s">
        <v>179</v>
      </c>
      <c r="C57" s="316">
        <f>C26</f>
        <v>432.48333333333323</v>
      </c>
    </row>
    <row r="58" spans="1:3" ht="16.5" thickBot="1" x14ac:dyDescent="0.3">
      <c r="A58" s="97" t="s">
        <v>183</v>
      </c>
      <c r="B58" s="98" t="s">
        <v>184</v>
      </c>
      <c r="C58" s="316">
        <f>D40</f>
        <v>977.6594666666665</v>
      </c>
    </row>
    <row r="59" spans="1:3" ht="16.5" thickBot="1" x14ac:dyDescent="0.3">
      <c r="A59" s="97" t="s">
        <v>194</v>
      </c>
      <c r="B59" s="98" t="s">
        <v>195</v>
      </c>
      <c r="C59" s="316">
        <f>C51</f>
        <v>969.5</v>
      </c>
    </row>
    <row r="60" spans="1:3" ht="16.5" thickBot="1" x14ac:dyDescent="0.3">
      <c r="A60" s="158" t="s">
        <v>14</v>
      </c>
      <c r="B60" s="159"/>
      <c r="C60" s="316">
        <f>SUM(C57:C59)</f>
        <v>2379.6427999999996</v>
      </c>
    </row>
    <row r="61" spans="1:3" x14ac:dyDescent="0.25">
      <c r="A61" s="13"/>
    </row>
    <row r="63" spans="1:3" x14ac:dyDescent="0.25">
      <c r="A63" s="160" t="s">
        <v>200</v>
      </c>
      <c r="B63" s="160"/>
      <c r="C63" s="160"/>
    </row>
    <row r="64" spans="1:3" ht="16.5" thickBot="1" x14ac:dyDescent="0.3"/>
    <row r="65" spans="1:3" ht="16.5" thickBot="1" x14ac:dyDescent="0.3">
      <c r="A65" s="95">
        <v>3</v>
      </c>
      <c r="B65" s="121" t="s">
        <v>201</v>
      </c>
      <c r="C65" s="121" t="s">
        <v>163</v>
      </c>
    </row>
    <row r="66" spans="1:3" ht="16.5" thickBot="1" x14ac:dyDescent="0.3">
      <c r="A66" s="97" t="s">
        <v>164</v>
      </c>
      <c r="B66" s="101" t="s">
        <v>321</v>
      </c>
      <c r="C66" s="316">
        <f>'Custo por trabalhador'!D394</f>
        <v>119.7289852215</v>
      </c>
    </row>
    <row r="67" spans="1:3" x14ac:dyDescent="0.25">
      <c r="A67" s="320" t="s">
        <v>166</v>
      </c>
      <c r="B67" s="321" t="s">
        <v>322</v>
      </c>
      <c r="C67" s="322">
        <f>'Custo por trabalhador'!D436</f>
        <v>169.37875374383333</v>
      </c>
    </row>
    <row r="68" spans="1:3" x14ac:dyDescent="0.25">
      <c r="A68" s="168" t="s">
        <v>168</v>
      </c>
      <c r="B68" s="325" t="s">
        <v>320</v>
      </c>
      <c r="C68" s="315">
        <f>'Custo por trabalhador'!D465</f>
        <v>-4.3248333333333324</v>
      </c>
    </row>
    <row r="69" spans="1:3" ht="16.5" thickBot="1" x14ac:dyDescent="0.3">
      <c r="A69" s="323" t="s">
        <v>14</v>
      </c>
      <c r="B69" s="324"/>
      <c r="C69" s="316">
        <f>SUM(C66:C68)</f>
        <v>284.78290563199999</v>
      </c>
    </row>
    <row r="72" spans="1:3" x14ac:dyDescent="0.25">
      <c r="A72" s="160" t="s">
        <v>202</v>
      </c>
      <c r="B72" s="160"/>
      <c r="C72" s="160"/>
    </row>
    <row r="75" spans="1:3" x14ac:dyDescent="0.25">
      <c r="A75" s="161" t="s">
        <v>203</v>
      </c>
      <c r="B75" s="161"/>
      <c r="C75" s="161"/>
    </row>
    <row r="76" spans="1:3" ht="16.5" thickBot="1" x14ac:dyDescent="0.3">
      <c r="A76" s="94"/>
    </row>
    <row r="77" spans="1:3" ht="16.5" thickBot="1" x14ac:dyDescent="0.3">
      <c r="A77" s="95" t="s">
        <v>204</v>
      </c>
      <c r="B77" s="121" t="s">
        <v>205</v>
      </c>
      <c r="C77" s="121" t="s">
        <v>163</v>
      </c>
    </row>
    <row r="78" spans="1:3" ht="16.5" thickBot="1" x14ac:dyDescent="0.3">
      <c r="A78" s="97" t="s">
        <v>164</v>
      </c>
      <c r="B78" s="98" t="s">
        <v>18</v>
      </c>
      <c r="C78" s="316">
        <f>'Custo por trabalhador'!E497*'Custo por trabalhador'!D533/12</f>
        <v>203.69273773466662</v>
      </c>
    </row>
    <row r="79" spans="1:3" ht="16.5" thickBot="1" x14ac:dyDescent="0.3">
      <c r="A79" s="97" t="s">
        <v>166</v>
      </c>
      <c r="B79" s="98" t="s">
        <v>205</v>
      </c>
      <c r="C79" s="316">
        <f>'Custo por trabalhador'!D533*'Custo por trabalhador'!E498/12</f>
        <v>13.579515848977776</v>
      </c>
    </row>
    <row r="80" spans="1:3" ht="16.5" thickBot="1" x14ac:dyDescent="0.3">
      <c r="A80" s="97" t="s">
        <v>168</v>
      </c>
      <c r="B80" s="98" t="s">
        <v>206</v>
      </c>
      <c r="C80" s="316">
        <f>'Custo por trabalhador'!D533*'Custo por trabalhador'!E506/12</f>
        <v>1.9418707664038219</v>
      </c>
    </row>
    <row r="81" spans="1:3" ht="16.5" thickBot="1" x14ac:dyDescent="0.3">
      <c r="A81" s="97" t="s">
        <v>170</v>
      </c>
      <c r="B81" s="98" t="s">
        <v>207</v>
      </c>
      <c r="C81" s="316">
        <f>'Custo por trabalhador'!D533*'Custo por trabalhador'!E499/12</f>
        <v>9.3902352095681305</v>
      </c>
    </row>
    <row r="82" spans="1:3" ht="16.5" thickBot="1" x14ac:dyDescent="0.3">
      <c r="A82" s="97" t="s">
        <v>171</v>
      </c>
      <c r="B82" s="98" t="s">
        <v>208</v>
      </c>
      <c r="C82" s="316">
        <f>'Custo por trabalhador'!D533*'Custo por trabalhador'!E507/12</f>
        <v>24.076481600237596</v>
      </c>
    </row>
    <row r="83" spans="1:3" ht="16.5" thickBot="1" x14ac:dyDescent="0.3">
      <c r="A83" s="97" t="s">
        <v>173</v>
      </c>
      <c r="B83" s="98" t="s">
        <v>175</v>
      </c>
      <c r="C83" s="316">
        <f>'Custo por trabalhador'!E546-'B SERV GERAIS HIGIENE 12X36 DIU'!C82-'B SERV GERAIS HIGIENE 12X36 DIU'!C81-'B SERV GERAIS HIGIENE 12X36 DIU'!C80-'B SERV GERAIS HIGIENE 12X36 DIU'!C79-'B SERV GERAIS HIGIENE 12X36 DIU'!C78</f>
        <v>38.70976787909612</v>
      </c>
    </row>
    <row r="84" spans="1:3" ht="16.5" thickBot="1" x14ac:dyDescent="0.3">
      <c r="A84" s="158" t="s">
        <v>192</v>
      </c>
      <c r="B84" s="159"/>
      <c r="C84" s="316">
        <f>SUM(C78:C83)</f>
        <v>291.39060903895006</v>
      </c>
    </row>
    <row r="87" spans="1:3" x14ac:dyDescent="0.25">
      <c r="A87" s="161" t="s">
        <v>209</v>
      </c>
      <c r="B87" s="161"/>
      <c r="C87" s="161"/>
    </row>
    <row r="88" spans="1:3" ht="16.5" thickBot="1" x14ac:dyDescent="0.3">
      <c r="A88" s="94"/>
    </row>
    <row r="89" spans="1:3" ht="16.5" thickBot="1" x14ac:dyDescent="0.3">
      <c r="A89" s="95" t="s">
        <v>210</v>
      </c>
      <c r="B89" s="121" t="s">
        <v>211</v>
      </c>
      <c r="C89" s="121" t="s">
        <v>163</v>
      </c>
    </row>
    <row r="90" spans="1:3" ht="16.5" thickBot="1" x14ac:dyDescent="0.3">
      <c r="A90" s="97" t="s">
        <v>164</v>
      </c>
      <c r="B90" s="98" t="s">
        <v>234</v>
      </c>
      <c r="C90" s="316">
        <f>'Custo por trabalhador'!D574</f>
        <v>0</v>
      </c>
    </row>
    <row r="91" spans="1:3" ht="16.5" thickBot="1" x14ac:dyDescent="0.3">
      <c r="A91" s="158" t="s">
        <v>14</v>
      </c>
      <c r="B91" s="159"/>
      <c r="C91" s="316">
        <f>SUM(C90)</f>
        <v>0</v>
      </c>
    </row>
    <row r="94" spans="1:3" x14ac:dyDescent="0.25">
      <c r="A94" s="161" t="s">
        <v>212</v>
      </c>
      <c r="B94" s="161"/>
      <c r="C94" s="161"/>
    </row>
    <row r="95" spans="1:3" ht="16.5" thickBot="1" x14ac:dyDescent="0.3">
      <c r="A95" s="94"/>
    </row>
    <row r="96" spans="1:3" ht="16.5" thickBot="1" x14ac:dyDescent="0.3">
      <c r="A96" s="95">
        <v>4</v>
      </c>
      <c r="B96" s="121" t="s">
        <v>213</v>
      </c>
      <c r="C96" s="121" t="s">
        <v>163</v>
      </c>
    </row>
    <row r="97" spans="1:3" ht="16.5" thickBot="1" x14ac:dyDescent="0.3">
      <c r="A97" s="97" t="s">
        <v>204</v>
      </c>
      <c r="B97" s="98" t="s">
        <v>205</v>
      </c>
      <c r="C97" s="316">
        <f>C84</f>
        <v>291.39060903895006</v>
      </c>
    </row>
    <row r="98" spans="1:3" ht="16.5" thickBot="1" x14ac:dyDescent="0.3">
      <c r="A98" s="97" t="s">
        <v>210</v>
      </c>
      <c r="B98" s="98" t="s">
        <v>211</v>
      </c>
      <c r="C98" s="316">
        <f>C91</f>
        <v>0</v>
      </c>
    </row>
    <row r="99" spans="1:3" ht="16.5" thickBot="1" x14ac:dyDescent="0.3">
      <c r="A99" s="158" t="s">
        <v>14</v>
      </c>
      <c r="B99" s="159"/>
      <c r="C99" s="316">
        <f>SUM(C97:C98)</f>
        <v>291.39060903895006</v>
      </c>
    </row>
    <row r="102" spans="1:3" x14ac:dyDescent="0.25">
      <c r="A102" s="160" t="s">
        <v>214</v>
      </c>
      <c r="B102" s="160"/>
      <c r="C102" s="160"/>
    </row>
    <row r="103" spans="1:3" ht="16.5" thickBot="1" x14ac:dyDescent="0.3"/>
    <row r="104" spans="1:3" ht="16.5" thickBot="1" x14ac:dyDescent="0.3">
      <c r="A104" s="95">
        <v>5</v>
      </c>
      <c r="B104" s="102" t="s">
        <v>124</v>
      </c>
      <c r="C104" s="121" t="s">
        <v>163</v>
      </c>
    </row>
    <row r="105" spans="1:3" ht="16.5" thickBot="1" x14ac:dyDescent="0.3">
      <c r="A105" s="97" t="s">
        <v>164</v>
      </c>
      <c r="B105" s="98" t="s">
        <v>215</v>
      </c>
      <c r="C105" s="316">
        <f>'Custo por trabalhador'!C612</f>
        <v>19.797500000000003</v>
      </c>
    </row>
    <row r="106" spans="1:3" ht="16.5" thickBot="1" x14ac:dyDescent="0.3">
      <c r="A106" s="97" t="s">
        <v>166</v>
      </c>
      <c r="B106" s="98" t="s">
        <v>216</v>
      </c>
      <c r="C106" s="316">
        <v>0</v>
      </c>
    </row>
    <row r="107" spans="1:3" ht="16.5" thickBot="1" x14ac:dyDescent="0.3">
      <c r="A107" s="97" t="s">
        <v>168</v>
      </c>
      <c r="B107" s="326" t="s">
        <v>314</v>
      </c>
      <c r="C107" s="316">
        <f>'Custo por trabalhador'!D635</f>
        <v>64.94583333333334</v>
      </c>
    </row>
    <row r="108" spans="1:3" ht="16.5" thickBot="1" x14ac:dyDescent="0.3">
      <c r="A108" s="97" t="s">
        <v>170</v>
      </c>
      <c r="B108" s="98" t="s">
        <v>175</v>
      </c>
      <c r="C108" s="317">
        <v>0</v>
      </c>
    </row>
    <row r="109" spans="1:3" ht="16.5" thickBot="1" x14ac:dyDescent="0.3">
      <c r="A109" s="158" t="s">
        <v>192</v>
      </c>
      <c r="B109" s="159"/>
      <c r="C109" s="316">
        <f>SUM(C105:C108)</f>
        <v>84.743333333333339</v>
      </c>
    </row>
    <row r="112" spans="1:3" x14ac:dyDescent="0.25">
      <c r="A112" s="160" t="s">
        <v>217</v>
      </c>
      <c r="B112" s="160"/>
      <c r="C112" s="160"/>
    </row>
    <row r="113" spans="1:5" ht="16.5" thickBot="1" x14ac:dyDescent="0.3"/>
    <row r="114" spans="1:5" ht="16.5" thickBot="1" x14ac:dyDescent="0.3">
      <c r="A114" s="95">
        <v>6</v>
      </c>
      <c r="B114" s="102" t="s">
        <v>125</v>
      </c>
      <c r="C114" s="121" t="s">
        <v>185</v>
      </c>
      <c r="D114" s="121" t="s">
        <v>163</v>
      </c>
    </row>
    <row r="115" spans="1:5" ht="16.5" thickBot="1" x14ac:dyDescent="0.3">
      <c r="A115" s="97" t="s">
        <v>164</v>
      </c>
      <c r="B115" s="98" t="s">
        <v>148</v>
      </c>
      <c r="C115" s="99">
        <f>'Custo por trabalhador'!B661</f>
        <v>0.03</v>
      </c>
      <c r="D115" s="316">
        <f>'Custo por trabalhador'!B668*'B SERV GERAIS HIGIENE 12X36 DIU'!C115</f>
        <v>157.94278944012848</v>
      </c>
    </row>
    <row r="116" spans="1:5" ht="16.5" thickBot="1" x14ac:dyDescent="0.3">
      <c r="A116" s="97" t="s">
        <v>166</v>
      </c>
      <c r="B116" s="98" t="s">
        <v>150</v>
      </c>
      <c r="C116" s="99">
        <f>'Custo por trabalhador'!B663</f>
        <v>6.7900000000000002E-2</v>
      </c>
      <c r="D116" s="316">
        <f>'Custo por trabalhador'!B697*'Custo por trabalhador'!B663</f>
        <v>406.74131396087472</v>
      </c>
    </row>
    <row r="117" spans="1:5" ht="16.5" thickBot="1" x14ac:dyDescent="0.3">
      <c r="A117" s="97" t="s">
        <v>168</v>
      </c>
      <c r="B117" s="98" t="s">
        <v>149</v>
      </c>
      <c r="C117" s="99">
        <f>'Custo por trabalhador'!B662</f>
        <v>5.6500000000000002E-2</v>
      </c>
      <c r="D117" s="316">
        <f>'Custo por trabalhador'!C697*'B SERV GERAIS HIGIENE 12X36 DIU'!C117</f>
        <v>349.91170364962227</v>
      </c>
    </row>
    <row r="118" spans="1:5" ht="16.5" thickBot="1" x14ac:dyDescent="0.3">
      <c r="A118" s="97"/>
      <c r="B118" s="98" t="s">
        <v>324</v>
      </c>
      <c r="C118" s="331">
        <v>6.4999999999999997E-3</v>
      </c>
      <c r="D118" s="329">
        <f>'Custo por trabalhador'!C697*0.65%</f>
        <v>40.255328738452121</v>
      </c>
    </row>
    <row r="119" spans="1:5" ht="16.5" thickBot="1" x14ac:dyDescent="0.3">
      <c r="A119" s="97"/>
      <c r="B119" s="98" t="s">
        <v>325</v>
      </c>
      <c r="C119" s="327">
        <v>0.03</v>
      </c>
      <c r="D119" s="329">
        <f>'Custo por trabalhador'!C697*3%</f>
        <v>185.79382494670207</v>
      </c>
    </row>
    <row r="120" spans="1:5" ht="16.5" thickBot="1" x14ac:dyDescent="0.3">
      <c r="A120" s="97"/>
      <c r="B120" s="98" t="s">
        <v>323</v>
      </c>
      <c r="C120" s="327">
        <v>0.02</v>
      </c>
      <c r="D120" s="329">
        <f>'Custo por trabalhador'!C697*2%</f>
        <v>123.86254996446806</v>
      </c>
      <c r="E120" s="328"/>
    </row>
    <row r="121" spans="1:5" ht="16.5" thickBot="1" x14ac:dyDescent="0.3">
      <c r="A121" s="158" t="s">
        <v>192</v>
      </c>
      <c r="B121" s="159"/>
      <c r="C121" s="327"/>
      <c r="D121" s="316">
        <f>SUM(D115:D117)</f>
        <v>914.59580705062547</v>
      </c>
    </row>
    <row r="124" spans="1:5" x14ac:dyDescent="0.25">
      <c r="A124" s="160" t="s">
        <v>218</v>
      </c>
      <c r="B124" s="160"/>
      <c r="C124" s="160"/>
    </row>
    <row r="125" spans="1:5" ht="16.5" thickBot="1" x14ac:dyDescent="0.3"/>
    <row r="126" spans="1:5" ht="16.5" thickBot="1" x14ac:dyDescent="0.3">
      <c r="A126" s="95"/>
      <c r="B126" s="121" t="s">
        <v>219</v>
      </c>
      <c r="C126" s="121" t="s">
        <v>163</v>
      </c>
    </row>
    <row r="127" spans="1:5" ht="16.5" thickBot="1" x14ac:dyDescent="0.3">
      <c r="A127" s="104" t="s">
        <v>164</v>
      </c>
      <c r="B127" s="98" t="s">
        <v>161</v>
      </c>
      <c r="C127" s="330">
        <f>C16</f>
        <v>2224.1999999999998</v>
      </c>
    </row>
    <row r="128" spans="1:5" ht="16.5" thickBot="1" x14ac:dyDescent="0.3">
      <c r="A128" s="104" t="s">
        <v>166</v>
      </c>
      <c r="B128" s="98" t="s">
        <v>176</v>
      </c>
      <c r="C128" s="330">
        <f>C60</f>
        <v>2379.6427999999996</v>
      </c>
    </row>
    <row r="129" spans="1:3" ht="16.5" thickBot="1" x14ac:dyDescent="0.3">
      <c r="A129" s="104" t="s">
        <v>168</v>
      </c>
      <c r="B129" s="98" t="s">
        <v>200</v>
      </c>
      <c r="C129" s="330">
        <f>C69</f>
        <v>284.78290563199999</v>
      </c>
    </row>
    <row r="130" spans="1:3" ht="16.5" thickBot="1" x14ac:dyDescent="0.3">
      <c r="A130" s="104" t="s">
        <v>170</v>
      </c>
      <c r="B130" s="98" t="s">
        <v>202</v>
      </c>
      <c r="C130" s="330">
        <f>C99</f>
        <v>291.39060903895006</v>
      </c>
    </row>
    <row r="131" spans="1:3" ht="16.5" thickBot="1" x14ac:dyDescent="0.3">
      <c r="A131" s="104" t="s">
        <v>171</v>
      </c>
      <c r="B131" s="98" t="s">
        <v>214</v>
      </c>
      <c r="C131" s="330">
        <f>C109</f>
        <v>84.743333333333339</v>
      </c>
    </row>
    <row r="132" spans="1:3" ht="16.5" thickBot="1" x14ac:dyDescent="0.3">
      <c r="A132" s="158" t="s">
        <v>220</v>
      </c>
      <c r="B132" s="159"/>
      <c r="C132" s="330">
        <f>SUM(C127:C131)</f>
        <v>5264.759648004283</v>
      </c>
    </row>
    <row r="133" spans="1:3" ht="16.5" thickBot="1" x14ac:dyDescent="0.3">
      <c r="A133" s="104" t="s">
        <v>173</v>
      </c>
      <c r="B133" s="98" t="s">
        <v>221</v>
      </c>
      <c r="C133" s="330">
        <f>D121</f>
        <v>914.59580705062547</v>
      </c>
    </row>
    <row r="134" spans="1:3" ht="16.5" thickBot="1" x14ac:dyDescent="0.3">
      <c r="A134" s="158" t="s">
        <v>222</v>
      </c>
      <c r="B134" s="159"/>
      <c r="C134" s="330">
        <f>C132+C133</f>
        <v>6179.3554550549088</v>
      </c>
    </row>
  </sheetData>
  <mergeCells count="30">
    <mergeCell ref="A109:B109"/>
    <mergeCell ref="A112:C112"/>
    <mergeCell ref="A121:B121"/>
    <mergeCell ref="A124:C124"/>
    <mergeCell ref="A132:B132"/>
    <mergeCell ref="A134:B134"/>
    <mergeCell ref="A84:B84"/>
    <mergeCell ref="A87:C87"/>
    <mergeCell ref="A91:B91"/>
    <mergeCell ref="A94:C94"/>
    <mergeCell ref="A99:B99"/>
    <mergeCell ref="A102:C102"/>
    <mergeCell ref="A54:C54"/>
    <mergeCell ref="A60:B60"/>
    <mergeCell ref="A63:C63"/>
    <mergeCell ref="A69:B69"/>
    <mergeCell ref="A72:C72"/>
    <mergeCell ref="A75:C75"/>
    <mergeCell ref="A21:C21"/>
    <mergeCell ref="A26:B26"/>
    <mergeCell ref="A29:D29"/>
    <mergeCell ref="A40:B40"/>
    <mergeCell ref="A43:C43"/>
    <mergeCell ref="A51:B51"/>
    <mergeCell ref="A1:D1"/>
    <mergeCell ref="A2:D2"/>
    <mergeCell ref="A3:D3"/>
    <mergeCell ref="A6:C6"/>
    <mergeCell ref="A16:B16"/>
    <mergeCell ref="A19:C19"/>
  </mergeCells>
  <pageMargins left="0.511811024" right="0.511811024" top="0.78740157499999996" bottom="0.78740157499999996" header="0.31496062000000002" footer="0.31496062000000002"/>
  <pageSetup paperSize="9" scale="81"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
  <sheetViews>
    <sheetView showGridLines="0" zoomScale="115" zoomScaleNormal="115" workbookViewId="0">
      <selection activeCell="D134" sqref="A1:D134"/>
    </sheetView>
  </sheetViews>
  <sheetFormatPr defaultRowHeight="15.75" x14ac:dyDescent="0.25"/>
  <cols>
    <col min="1" max="1" width="9.140625" style="103"/>
    <col min="2" max="2" width="72.140625" style="103" customWidth="1"/>
    <col min="3" max="3" width="18" style="103" customWidth="1"/>
    <col min="4" max="4" width="14.28515625" style="103" customWidth="1"/>
    <col min="5" max="5" width="12.7109375" style="103" customWidth="1"/>
    <col min="6" max="6" width="12" style="103" customWidth="1"/>
    <col min="7" max="7" width="15.140625" style="103" customWidth="1"/>
    <col min="8" max="16384" width="9.140625" style="103"/>
  </cols>
  <sheetData>
    <row r="1" spans="1:4" ht="23.25" x14ac:dyDescent="0.35">
      <c r="A1" s="139" t="s">
        <v>223</v>
      </c>
      <c r="B1" s="139"/>
      <c r="C1" s="139"/>
      <c r="D1" s="139"/>
    </row>
    <row r="2" spans="1:4" ht="23.25" x14ac:dyDescent="0.35">
      <c r="A2" s="139" t="s">
        <v>225</v>
      </c>
      <c r="B2" s="139"/>
      <c r="C2" s="139"/>
      <c r="D2" s="139"/>
    </row>
    <row r="3" spans="1:4" x14ac:dyDescent="0.25">
      <c r="A3" s="163" t="s">
        <v>233</v>
      </c>
      <c r="B3" s="163"/>
      <c r="C3" s="163"/>
      <c r="D3" s="163"/>
    </row>
    <row r="6" spans="1:4" x14ac:dyDescent="0.25">
      <c r="A6" s="162" t="s">
        <v>161</v>
      </c>
      <c r="B6" s="162"/>
      <c r="C6" s="162"/>
    </row>
    <row r="7" spans="1:4" ht="16.5" thickBot="1" x14ac:dyDescent="0.3"/>
    <row r="8" spans="1:4" ht="16.5" thickBot="1" x14ac:dyDescent="0.3">
      <c r="A8" s="95">
        <v>1</v>
      </c>
      <c r="B8" s="121" t="s">
        <v>162</v>
      </c>
      <c r="C8" s="121" t="s">
        <v>163</v>
      </c>
    </row>
    <row r="9" spans="1:4" ht="16.5" thickBot="1" x14ac:dyDescent="0.3">
      <c r="A9" s="97" t="s">
        <v>164</v>
      </c>
      <c r="B9" s="98" t="s">
        <v>165</v>
      </c>
      <c r="C9" s="317">
        <f>'Custo por trabalhador'!B14</f>
        <v>1900</v>
      </c>
    </row>
    <row r="10" spans="1:4" ht="16.5" thickBot="1" x14ac:dyDescent="0.3">
      <c r="A10" s="97" t="s">
        <v>166</v>
      </c>
      <c r="B10" s="98" t="s">
        <v>167</v>
      </c>
      <c r="C10" s="317">
        <v>0</v>
      </c>
    </row>
    <row r="11" spans="1:4" ht="16.5" thickBot="1" x14ac:dyDescent="0.3">
      <c r="A11" s="97" t="s">
        <v>168</v>
      </c>
      <c r="B11" s="98" t="s">
        <v>169</v>
      </c>
      <c r="C11" s="317">
        <f>'Custo por trabalhador'!D46</f>
        <v>324.20000000000005</v>
      </c>
    </row>
    <row r="12" spans="1:4" ht="16.5" thickBot="1" x14ac:dyDescent="0.3">
      <c r="A12" s="97" t="s">
        <v>170</v>
      </c>
      <c r="B12" s="98" t="s">
        <v>11</v>
      </c>
      <c r="C12" s="317">
        <f>'Custo por trabalhador'!E63</f>
        <v>259.49</v>
      </c>
    </row>
    <row r="13" spans="1:4" ht="16.5" thickBot="1" x14ac:dyDescent="0.3">
      <c r="A13" s="97" t="s">
        <v>171</v>
      </c>
      <c r="B13" s="98" t="s">
        <v>172</v>
      </c>
      <c r="C13" s="317">
        <f>'Custo por trabalhador'!E77</f>
        <v>222.41999999999996</v>
      </c>
    </row>
    <row r="14" spans="1:4" ht="16.5" thickBot="1" x14ac:dyDescent="0.3">
      <c r="A14" s="97"/>
      <c r="B14" s="98"/>
      <c r="C14" s="317"/>
    </row>
    <row r="15" spans="1:4" ht="16.5" thickBot="1" x14ac:dyDescent="0.3">
      <c r="A15" s="97" t="s">
        <v>174</v>
      </c>
      <c r="B15" s="98" t="s">
        <v>175</v>
      </c>
      <c r="C15" s="317">
        <f>'Custo por trabalhador'!D30</f>
        <v>0</v>
      </c>
    </row>
    <row r="16" spans="1:4" ht="16.5" thickBot="1" x14ac:dyDescent="0.3">
      <c r="A16" s="158" t="s">
        <v>14</v>
      </c>
      <c r="B16" s="159"/>
      <c r="C16" s="317">
        <f>SUM(C9:C15)</f>
        <v>2706.1099999999997</v>
      </c>
    </row>
    <row r="19" spans="1:4" x14ac:dyDescent="0.25">
      <c r="A19" s="160" t="s">
        <v>176</v>
      </c>
      <c r="B19" s="160"/>
      <c r="C19" s="160"/>
    </row>
    <row r="20" spans="1:4" x14ac:dyDescent="0.25">
      <c r="A20" s="94"/>
    </row>
    <row r="21" spans="1:4" x14ac:dyDescent="0.25">
      <c r="A21" s="161" t="s">
        <v>177</v>
      </c>
      <c r="B21" s="161"/>
      <c r="C21" s="161"/>
    </row>
    <row r="22" spans="1:4" ht="16.5" thickBot="1" x14ac:dyDescent="0.3"/>
    <row r="23" spans="1:4" ht="16.5" thickBot="1" x14ac:dyDescent="0.3">
      <c r="A23" s="95" t="s">
        <v>178</v>
      </c>
      <c r="B23" s="121" t="s">
        <v>179</v>
      </c>
      <c r="C23" s="121" t="s">
        <v>163</v>
      </c>
    </row>
    <row r="24" spans="1:4" ht="16.5" thickBot="1" x14ac:dyDescent="0.3">
      <c r="A24" s="97" t="s">
        <v>164</v>
      </c>
      <c r="B24" s="98" t="s">
        <v>180</v>
      </c>
      <c r="C24" s="316">
        <f>'Custo por trabalhador'!D123</f>
        <v>225.50916666666663</v>
      </c>
    </row>
    <row r="25" spans="1:4" ht="16.5" thickBot="1" x14ac:dyDescent="0.3">
      <c r="A25" s="97" t="s">
        <v>166</v>
      </c>
      <c r="B25" s="98" t="s">
        <v>181</v>
      </c>
      <c r="C25" s="316">
        <f>'Custo por trabalhador'!D136+'Custo por trabalhador'!E149</f>
        <v>300.67888888888882</v>
      </c>
    </row>
    <row r="26" spans="1:4" ht="16.5" thickBot="1" x14ac:dyDescent="0.3">
      <c r="A26" s="158" t="s">
        <v>14</v>
      </c>
      <c r="B26" s="159"/>
      <c r="C26" s="316">
        <f>SUM(C24:C25)</f>
        <v>526.18805555555548</v>
      </c>
    </row>
    <row r="29" spans="1:4" ht="32.25" customHeight="1" x14ac:dyDescent="0.25">
      <c r="A29" s="164" t="s">
        <v>182</v>
      </c>
      <c r="B29" s="164"/>
      <c r="C29" s="164"/>
      <c r="D29" s="164"/>
    </row>
    <row r="30" spans="1:4" ht="16.5" thickBot="1" x14ac:dyDescent="0.3"/>
    <row r="31" spans="1:4" ht="16.5" thickBot="1" x14ac:dyDescent="0.3">
      <c r="A31" s="95" t="s">
        <v>183</v>
      </c>
      <c r="B31" s="121" t="s">
        <v>184</v>
      </c>
      <c r="C31" s="121" t="s">
        <v>185</v>
      </c>
      <c r="D31" s="121" t="s">
        <v>163</v>
      </c>
    </row>
    <row r="32" spans="1:4" ht="16.5" thickBot="1" x14ac:dyDescent="0.3">
      <c r="A32" s="97" t="s">
        <v>164</v>
      </c>
      <c r="B32" s="98" t="s">
        <v>186</v>
      </c>
      <c r="C32" s="99">
        <v>0.2</v>
      </c>
      <c r="D32" s="316">
        <f>(C26+C16)*C32</f>
        <v>646.45961111111103</v>
      </c>
    </row>
    <row r="33" spans="1:4" ht="16.5" thickBot="1" x14ac:dyDescent="0.3">
      <c r="A33" s="97" t="s">
        <v>166</v>
      </c>
      <c r="B33" s="98" t="s">
        <v>187</v>
      </c>
      <c r="C33" s="99">
        <v>2.5000000000000001E-2</v>
      </c>
      <c r="D33" s="316">
        <f>($C$26+$C$16)*C33</f>
        <v>80.807451388888879</v>
      </c>
    </row>
    <row r="34" spans="1:4" ht="16.5" thickBot="1" x14ac:dyDescent="0.3">
      <c r="A34" s="97" t="s">
        <v>168</v>
      </c>
      <c r="B34" s="98" t="s">
        <v>188</v>
      </c>
      <c r="C34" s="319">
        <f>'Custo por trabalhador'!B178</f>
        <v>0.03</v>
      </c>
      <c r="D34" s="316">
        <f>($C$26+$C$16)*C34</f>
        <v>96.968941666666652</v>
      </c>
    </row>
    <row r="35" spans="1:4" ht="16.5" thickBot="1" x14ac:dyDescent="0.3">
      <c r="A35" s="97" t="s">
        <v>170</v>
      </c>
      <c r="B35" s="98" t="s">
        <v>189</v>
      </c>
      <c r="C35" s="99">
        <v>1.4999999999999999E-2</v>
      </c>
      <c r="D35" s="316">
        <f>($C$26+$C$16)*C35</f>
        <v>48.484470833333326</v>
      </c>
    </row>
    <row r="36" spans="1:4" ht="16.5" thickBot="1" x14ac:dyDescent="0.3">
      <c r="A36" s="97" t="s">
        <v>171</v>
      </c>
      <c r="B36" s="98" t="s">
        <v>190</v>
      </c>
      <c r="C36" s="99">
        <v>0.01</v>
      </c>
      <c r="D36" s="316">
        <f>($C$26+$C$16)*C36</f>
        <v>32.322980555555553</v>
      </c>
    </row>
    <row r="37" spans="1:4" ht="16.5" thickBot="1" x14ac:dyDescent="0.3">
      <c r="A37" s="97" t="s">
        <v>173</v>
      </c>
      <c r="B37" s="98" t="s">
        <v>27</v>
      </c>
      <c r="C37" s="99">
        <v>6.0000000000000001E-3</v>
      </c>
      <c r="D37" s="316">
        <f>($C$26+$C$16)*C37</f>
        <v>19.39378833333333</v>
      </c>
    </row>
    <row r="38" spans="1:4" ht="16.5" thickBot="1" x14ac:dyDescent="0.3">
      <c r="A38" s="97" t="s">
        <v>174</v>
      </c>
      <c r="B38" s="98" t="s">
        <v>28</v>
      </c>
      <c r="C38" s="99">
        <v>2E-3</v>
      </c>
      <c r="D38" s="316">
        <f>($C$26+$C$16)*C38</f>
        <v>6.4645961111111099</v>
      </c>
    </row>
    <row r="39" spans="1:4" ht="16.5" thickBot="1" x14ac:dyDescent="0.3">
      <c r="A39" s="97" t="s">
        <v>191</v>
      </c>
      <c r="B39" s="98" t="s">
        <v>29</v>
      </c>
      <c r="C39" s="99">
        <v>0.08</v>
      </c>
      <c r="D39" s="316">
        <f>($C$26+$C$16)*C39</f>
        <v>258.58384444444442</v>
      </c>
    </row>
    <row r="40" spans="1:4" ht="16.5" thickBot="1" x14ac:dyDescent="0.3">
      <c r="A40" s="158" t="s">
        <v>192</v>
      </c>
      <c r="B40" s="159"/>
      <c r="C40" s="99">
        <f>SUM(C32:C39)</f>
        <v>0.36800000000000005</v>
      </c>
      <c r="D40" s="316">
        <f>SUM(D32:D39)</f>
        <v>1189.4856844444444</v>
      </c>
    </row>
    <row r="43" spans="1:4" x14ac:dyDescent="0.25">
      <c r="A43" s="161" t="s">
        <v>193</v>
      </c>
      <c r="B43" s="161"/>
      <c r="C43" s="161"/>
    </row>
    <row r="44" spans="1:4" ht="16.5" thickBot="1" x14ac:dyDescent="0.3"/>
    <row r="45" spans="1:4" ht="16.5" thickBot="1" x14ac:dyDescent="0.3">
      <c r="A45" s="95" t="s">
        <v>194</v>
      </c>
      <c r="B45" s="121" t="s">
        <v>195</v>
      </c>
      <c r="C45" s="121" t="s">
        <v>163</v>
      </c>
    </row>
    <row r="46" spans="1:4" ht="16.5" thickBot="1" x14ac:dyDescent="0.3">
      <c r="A46" s="97" t="s">
        <v>164</v>
      </c>
      <c r="B46" s="98" t="s">
        <v>196</v>
      </c>
      <c r="C46" s="316">
        <f>'Custo por trabalhador'!D258</f>
        <v>93</v>
      </c>
    </row>
    <row r="47" spans="1:4" ht="16.5" thickBot="1" x14ac:dyDescent="0.3">
      <c r="A47" s="97" t="s">
        <v>166</v>
      </c>
      <c r="B47" s="98" t="s">
        <v>197</v>
      </c>
      <c r="C47" s="316">
        <f>'Custo por trabalhador'!D298</f>
        <v>720</v>
      </c>
    </row>
    <row r="48" spans="1:4" ht="16.5" thickBot="1" x14ac:dyDescent="0.3">
      <c r="A48" s="97" t="s">
        <v>168</v>
      </c>
      <c r="B48" s="98" t="str">
        <f>'Custo por trabalhador'!D323</f>
        <v>Auxílio Saúde</v>
      </c>
      <c r="C48" s="316">
        <f>'Custo por trabalhador'!B313</f>
        <v>94.5</v>
      </c>
    </row>
    <row r="49" spans="1:3" ht="16.5" thickBot="1" x14ac:dyDescent="0.3">
      <c r="A49" s="97" t="s">
        <v>170</v>
      </c>
      <c r="B49" s="98" t="str">
        <f>'Custo por trabalhador'!E323</f>
        <v>Benefício Social Familiar</v>
      </c>
      <c r="C49" s="316">
        <f>'Custo por trabalhador'!C313</f>
        <v>31</v>
      </c>
    </row>
    <row r="50" spans="1:3" ht="16.5" thickBot="1" x14ac:dyDescent="0.3">
      <c r="A50" s="318" t="s">
        <v>171</v>
      </c>
      <c r="B50" s="98" t="str">
        <f>'Custo por trabalhador'!F323</f>
        <v>Fundo de Formação Profissional</v>
      </c>
      <c r="C50" s="316">
        <f>'Custo por trabalhador'!D313</f>
        <v>31</v>
      </c>
    </row>
    <row r="51" spans="1:3" ht="16.5" thickBot="1" x14ac:dyDescent="0.3">
      <c r="A51" s="158" t="s">
        <v>14</v>
      </c>
      <c r="B51" s="159"/>
      <c r="C51" s="316">
        <f>SUM(C46:C50)</f>
        <v>969.5</v>
      </c>
    </row>
    <row r="54" spans="1:3" x14ac:dyDescent="0.25">
      <c r="A54" s="161" t="s">
        <v>198</v>
      </c>
      <c r="B54" s="161"/>
      <c r="C54" s="161"/>
    </row>
    <row r="55" spans="1:3" ht="16.5" thickBot="1" x14ac:dyDescent="0.3"/>
    <row r="56" spans="1:3" ht="16.5" thickBot="1" x14ac:dyDescent="0.3">
      <c r="A56" s="95">
        <v>2</v>
      </c>
      <c r="B56" s="121" t="s">
        <v>199</v>
      </c>
      <c r="C56" s="121" t="s">
        <v>163</v>
      </c>
    </row>
    <row r="57" spans="1:3" ht="16.5" thickBot="1" x14ac:dyDescent="0.3">
      <c r="A57" s="97" t="s">
        <v>178</v>
      </c>
      <c r="B57" s="98" t="s">
        <v>179</v>
      </c>
      <c r="C57" s="316">
        <f>C26</f>
        <v>526.18805555555548</v>
      </c>
    </row>
    <row r="58" spans="1:3" ht="16.5" thickBot="1" x14ac:dyDescent="0.3">
      <c r="A58" s="97" t="s">
        <v>183</v>
      </c>
      <c r="B58" s="98" t="s">
        <v>184</v>
      </c>
      <c r="C58" s="316">
        <f>D40</f>
        <v>1189.4856844444444</v>
      </c>
    </row>
    <row r="59" spans="1:3" ht="16.5" thickBot="1" x14ac:dyDescent="0.3">
      <c r="A59" s="97" t="s">
        <v>194</v>
      </c>
      <c r="B59" s="98" t="s">
        <v>195</v>
      </c>
      <c r="C59" s="316">
        <f>C51</f>
        <v>969.5</v>
      </c>
    </row>
    <row r="60" spans="1:3" ht="16.5" thickBot="1" x14ac:dyDescent="0.3">
      <c r="A60" s="158" t="s">
        <v>14</v>
      </c>
      <c r="B60" s="159"/>
      <c r="C60" s="316">
        <f>SUM(C57:C59)</f>
        <v>2685.1737399999997</v>
      </c>
    </row>
    <row r="61" spans="1:3" x14ac:dyDescent="0.25">
      <c r="A61" s="13"/>
    </row>
    <row r="63" spans="1:3" x14ac:dyDescent="0.25">
      <c r="A63" s="160" t="s">
        <v>200</v>
      </c>
      <c r="B63" s="160"/>
      <c r="C63" s="160"/>
    </row>
    <row r="64" spans="1:3" ht="16.5" thickBot="1" x14ac:dyDescent="0.3"/>
    <row r="65" spans="1:3" ht="16.5" thickBot="1" x14ac:dyDescent="0.3">
      <c r="A65" s="95">
        <v>3</v>
      </c>
      <c r="B65" s="121" t="s">
        <v>201</v>
      </c>
      <c r="C65" s="121" t="s">
        <v>163</v>
      </c>
    </row>
    <row r="66" spans="1:3" ht="16.5" thickBot="1" x14ac:dyDescent="0.3">
      <c r="A66" s="97" t="s">
        <v>164</v>
      </c>
      <c r="B66" s="101" t="s">
        <v>321</v>
      </c>
      <c r="C66" s="316">
        <f>'Custo por trabalhador'!D395</f>
        <v>140.49416544657498</v>
      </c>
    </row>
    <row r="67" spans="1:3" x14ac:dyDescent="0.25">
      <c r="A67" s="320" t="s">
        <v>166</v>
      </c>
      <c r="B67" s="321" t="s">
        <v>322</v>
      </c>
      <c r="C67" s="322">
        <f>'Custo por trabalhador'!D437</f>
        <v>199.75113939180275</v>
      </c>
    </row>
    <row r="68" spans="1:3" x14ac:dyDescent="0.25">
      <c r="A68" s="168" t="s">
        <v>168</v>
      </c>
      <c r="B68" s="325" t="s">
        <v>320</v>
      </c>
      <c r="C68" s="315">
        <f>'Custo por trabalhador'!D466</f>
        <v>-5.261880555555555</v>
      </c>
    </row>
    <row r="69" spans="1:3" ht="16.5" thickBot="1" x14ac:dyDescent="0.3">
      <c r="A69" s="323" t="s">
        <v>14</v>
      </c>
      <c r="B69" s="324"/>
      <c r="C69" s="316">
        <f>SUM(C66:C68)</f>
        <v>334.98342428282217</v>
      </c>
    </row>
    <row r="72" spans="1:3" x14ac:dyDescent="0.25">
      <c r="A72" s="160" t="s">
        <v>202</v>
      </c>
      <c r="B72" s="160"/>
      <c r="C72" s="160"/>
    </row>
    <row r="75" spans="1:3" x14ac:dyDescent="0.25">
      <c r="A75" s="161" t="s">
        <v>203</v>
      </c>
      <c r="B75" s="161"/>
      <c r="C75" s="161"/>
    </row>
    <row r="76" spans="1:3" ht="16.5" thickBot="1" x14ac:dyDescent="0.3">
      <c r="A76" s="94"/>
    </row>
    <row r="77" spans="1:3" ht="16.5" thickBot="1" x14ac:dyDescent="0.3">
      <c r="A77" s="95" t="s">
        <v>204</v>
      </c>
      <c r="B77" s="121" t="s">
        <v>205</v>
      </c>
      <c r="C77" s="121" t="s">
        <v>163</v>
      </c>
    </row>
    <row r="78" spans="1:3" ht="16.5" thickBot="1" x14ac:dyDescent="0.3">
      <c r="A78" s="97" t="s">
        <v>164</v>
      </c>
      <c r="B78" s="98" t="s">
        <v>18</v>
      </c>
      <c r="C78" s="316">
        <f>'Custo por trabalhador'!E497*'Custo por trabalhador'!D534/12</f>
        <v>238.59446517845086</v>
      </c>
    </row>
    <row r="79" spans="1:3" ht="16.5" thickBot="1" x14ac:dyDescent="0.3">
      <c r="A79" s="97" t="s">
        <v>166</v>
      </c>
      <c r="B79" s="98" t="s">
        <v>205</v>
      </c>
      <c r="C79" s="316">
        <f>'Custo por trabalhador'!D534*'Custo por trabalhador'!E498/12</f>
        <v>15.906297678563391</v>
      </c>
    </row>
    <row r="80" spans="1:3" ht="16.5" thickBot="1" x14ac:dyDescent="0.3">
      <c r="A80" s="97" t="s">
        <v>168</v>
      </c>
      <c r="B80" s="98" t="s">
        <v>206</v>
      </c>
      <c r="C80" s="316">
        <f>'Custo por trabalhador'!E506*'Custo por trabalhador'!D534/12</f>
        <v>2.2746005680345651</v>
      </c>
    </row>
    <row r="81" spans="1:3" ht="16.5" thickBot="1" x14ac:dyDescent="0.3">
      <c r="A81" s="97" t="s">
        <v>170</v>
      </c>
      <c r="B81" s="98" t="s">
        <v>207</v>
      </c>
      <c r="C81" s="316">
        <f>'Custo por trabalhador'!D534/'Custo por trabalhador'!E499/12</f>
        <v>23.002599679773525</v>
      </c>
    </row>
    <row r="82" spans="1:3" ht="16.5" thickBot="1" x14ac:dyDescent="0.3">
      <c r="A82" s="97" t="s">
        <v>171</v>
      </c>
      <c r="B82" s="98" t="s">
        <v>208</v>
      </c>
      <c r="C82" s="316">
        <f>'Custo por trabalhador'!D534*'Custo por trabalhador'!E507/12</f>
        <v>28.201865784092888</v>
      </c>
    </row>
    <row r="83" spans="1:3" ht="16.5" thickBot="1" x14ac:dyDescent="0.3">
      <c r="A83" s="97" t="s">
        <v>173</v>
      </c>
      <c r="B83" s="98" t="s">
        <v>175</v>
      </c>
      <c r="C83" s="316">
        <f>'Custo por trabalhador'!E546-C78-C79-C80-C81-C82</f>
        <v>-16.589219849965225</v>
      </c>
    </row>
    <row r="84" spans="1:3" ht="16.5" thickBot="1" x14ac:dyDescent="0.3">
      <c r="A84" s="158" t="s">
        <v>192</v>
      </c>
      <c r="B84" s="159"/>
      <c r="C84" s="316">
        <f>SUM(C78:C83)</f>
        <v>291.39060903895</v>
      </c>
    </row>
    <row r="87" spans="1:3" x14ac:dyDescent="0.25">
      <c r="A87" s="161" t="s">
        <v>209</v>
      </c>
      <c r="B87" s="161"/>
      <c r="C87" s="161"/>
    </row>
    <row r="88" spans="1:3" ht="16.5" thickBot="1" x14ac:dyDescent="0.3">
      <c r="A88" s="94"/>
    </row>
    <row r="89" spans="1:3" ht="16.5" thickBot="1" x14ac:dyDescent="0.3">
      <c r="A89" s="95" t="s">
        <v>210</v>
      </c>
      <c r="B89" s="121" t="s">
        <v>211</v>
      </c>
      <c r="C89" s="121" t="s">
        <v>163</v>
      </c>
    </row>
    <row r="90" spans="1:3" ht="16.5" thickBot="1" x14ac:dyDescent="0.3">
      <c r="A90" s="97" t="s">
        <v>164</v>
      </c>
      <c r="B90" s="98" t="s">
        <v>234</v>
      </c>
      <c r="C90" s="316">
        <f>'Custo por trabalhador'!D574</f>
        <v>0</v>
      </c>
    </row>
    <row r="91" spans="1:3" ht="16.5" thickBot="1" x14ac:dyDescent="0.3">
      <c r="A91" s="158" t="s">
        <v>14</v>
      </c>
      <c r="B91" s="159"/>
      <c r="C91" s="316">
        <f>SUM(C90)</f>
        <v>0</v>
      </c>
    </row>
    <row r="94" spans="1:3" x14ac:dyDescent="0.25">
      <c r="A94" s="161" t="s">
        <v>212</v>
      </c>
      <c r="B94" s="161"/>
      <c r="C94" s="161"/>
    </row>
    <row r="95" spans="1:3" ht="16.5" thickBot="1" x14ac:dyDescent="0.3">
      <c r="A95" s="94"/>
    </row>
    <row r="96" spans="1:3" ht="16.5" thickBot="1" x14ac:dyDescent="0.3">
      <c r="A96" s="95">
        <v>4</v>
      </c>
      <c r="B96" s="121" t="s">
        <v>213</v>
      </c>
      <c r="C96" s="121" t="s">
        <v>163</v>
      </c>
    </row>
    <row r="97" spans="1:3" ht="16.5" thickBot="1" x14ac:dyDescent="0.3">
      <c r="A97" s="97" t="s">
        <v>204</v>
      </c>
      <c r="B97" s="98" t="s">
        <v>205</v>
      </c>
      <c r="C97" s="316">
        <f>C84</f>
        <v>291.39060903895</v>
      </c>
    </row>
    <row r="98" spans="1:3" ht="16.5" thickBot="1" x14ac:dyDescent="0.3">
      <c r="A98" s="97" t="s">
        <v>210</v>
      </c>
      <c r="B98" s="98" t="s">
        <v>211</v>
      </c>
      <c r="C98" s="316">
        <f>C91</f>
        <v>0</v>
      </c>
    </row>
    <row r="99" spans="1:3" ht="16.5" thickBot="1" x14ac:dyDescent="0.3">
      <c r="A99" s="158" t="s">
        <v>14</v>
      </c>
      <c r="B99" s="159"/>
      <c r="C99" s="316">
        <f>SUM(C97:C98)</f>
        <v>291.39060903895</v>
      </c>
    </row>
    <row r="102" spans="1:3" x14ac:dyDescent="0.25">
      <c r="A102" s="160" t="s">
        <v>214</v>
      </c>
      <c r="B102" s="160"/>
      <c r="C102" s="160"/>
    </row>
    <row r="103" spans="1:3" ht="16.5" thickBot="1" x14ac:dyDescent="0.3"/>
    <row r="104" spans="1:3" ht="16.5" thickBot="1" x14ac:dyDescent="0.3">
      <c r="A104" s="95">
        <v>5</v>
      </c>
      <c r="B104" s="102" t="s">
        <v>124</v>
      </c>
      <c r="C104" s="121" t="s">
        <v>163</v>
      </c>
    </row>
    <row r="105" spans="1:3" ht="16.5" thickBot="1" x14ac:dyDescent="0.3">
      <c r="A105" s="97" t="s">
        <v>164</v>
      </c>
      <c r="B105" s="98" t="s">
        <v>215</v>
      </c>
      <c r="C105" s="316">
        <f>'Custo por trabalhador'!C613</f>
        <v>19.797500000000003</v>
      </c>
    </row>
    <row r="106" spans="1:3" ht="16.5" thickBot="1" x14ac:dyDescent="0.3">
      <c r="A106" s="97" t="s">
        <v>166</v>
      </c>
      <c r="B106" s="98" t="s">
        <v>216</v>
      </c>
      <c r="C106" s="316">
        <v>0</v>
      </c>
    </row>
    <row r="107" spans="1:3" ht="16.5" thickBot="1" x14ac:dyDescent="0.3">
      <c r="A107" s="97" t="s">
        <v>168</v>
      </c>
      <c r="B107" s="326" t="s">
        <v>314</v>
      </c>
      <c r="C107" s="316">
        <f>'Custo por trabalhador'!D636</f>
        <v>64.94583333333334</v>
      </c>
    </row>
    <row r="108" spans="1:3" ht="16.5" thickBot="1" x14ac:dyDescent="0.3">
      <c r="A108" s="97" t="s">
        <v>170</v>
      </c>
      <c r="B108" s="98" t="s">
        <v>175</v>
      </c>
      <c r="C108" s="317">
        <v>0</v>
      </c>
    </row>
    <row r="109" spans="1:3" ht="16.5" thickBot="1" x14ac:dyDescent="0.3">
      <c r="A109" s="158" t="s">
        <v>192</v>
      </c>
      <c r="B109" s="159"/>
      <c r="C109" s="316">
        <f>SUM(C105:C108)</f>
        <v>84.743333333333339</v>
      </c>
    </row>
    <row r="112" spans="1:3" x14ac:dyDescent="0.25">
      <c r="A112" s="160" t="s">
        <v>217</v>
      </c>
      <c r="B112" s="160"/>
      <c r="C112" s="160"/>
    </row>
    <row r="113" spans="1:5" ht="16.5" thickBot="1" x14ac:dyDescent="0.3"/>
    <row r="114" spans="1:5" ht="16.5" thickBot="1" x14ac:dyDescent="0.3">
      <c r="A114" s="95">
        <v>6</v>
      </c>
      <c r="B114" s="102" t="s">
        <v>125</v>
      </c>
      <c r="C114" s="121" t="s">
        <v>185</v>
      </c>
      <c r="D114" s="121" t="s">
        <v>163</v>
      </c>
    </row>
    <row r="115" spans="1:5" ht="16.5" thickBot="1" x14ac:dyDescent="0.3">
      <c r="A115" s="97" t="s">
        <v>164</v>
      </c>
      <c r="B115" s="98" t="s">
        <v>148</v>
      </c>
      <c r="C115" s="99">
        <f>'Custo por trabalhador'!B661</f>
        <v>0.03</v>
      </c>
      <c r="D115" s="316">
        <f>'Custo por trabalhador'!D669*'C SERV GERAIS HIGIENE 12X36 NOT'!C115</f>
        <v>32.546356659653149</v>
      </c>
    </row>
    <row r="116" spans="1:5" ht="16.5" thickBot="1" x14ac:dyDescent="0.3">
      <c r="A116" s="97" t="s">
        <v>166</v>
      </c>
      <c r="B116" s="98" t="s">
        <v>150</v>
      </c>
      <c r="C116" s="99">
        <f>'Custo por trabalhador'!B663</f>
        <v>6.7900000000000002E-2</v>
      </c>
      <c r="D116" s="316">
        <f>'Custo por trabalhador'!D697*'Custo por trabalhador'!B663</f>
        <v>491.4064217845775</v>
      </c>
    </row>
    <row r="117" spans="1:5" ht="16.5" thickBot="1" x14ac:dyDescent="0.3">
      <c r="A117" s="97" t="s">
        <v>168</v>
      </c>
      <c r="B117" s="98" t="s">
        <v>149</v>
      </c>
      <c r="C117" s="99">
        <f>'Custo por trabalhador'!B662</f>
        <v>5.6500000000000002E-2</v>
      </c>
      <c r="D117" s="316">
        <f>'Custo por trabalhador'!D697*'C SERV GERAIS HIGIENE 12X36 NOT'!C117</f>
        <v>408.90225082221838</v>
      </c>
    </row>
    <row r="118" spans="1:5" ht="16.5" thickBot="1" x14ac:dyDescent="0.3">
      <c r="A118" s="97"/>
      <c r="B118" s="98" t="s">
        <v>324</v>
      </c>
      <c r="C118" s="331">
        <v>6.4999999999999997E-3</v>
      </c>
      <c r="D118" s="329">
        <f>'Custo por trabalhador'!D697*0.65%</f>
        <v>47.041851864503002</v>
      </c>
    </row>
    <row r="119" spans="1:5" ht="16.5" thickBot="1" x14ac:dyDescent="0.3">
      <c r="A119" s="97"/>
      <c r="B119" s="98" t="s">
        <v>325</v>
      </c>
      <c r="C119" s="327">
        <v>0.03</v>
      </c>
      <c r="D119" s="329">
        <f>'Custo por trabalhador'!D697*3%</f>
        <v>217.1162393746292</v>
      </c>
    </row>
    <row r="120" spans="1:5" ht="16.5" thickBot="1" x14ac:dyDescent="0.3">
      <c r="A120" s="97"/>
      <c r="B120" s="98" t="s">
        <v>323</v>
      </c>
      <c r="C120" s="327">
        <v>0.02</v>
      </c>
      <c r="D120" s="329">
        <f>'Custo por trabalhador'!D697*2%</f>
        <v>144.74415958308614</v>
      </c>
      <c r="E120" s="328"/>
    </row>
    <row r="121" spans="1:5" ht="16.5" thickBot="1" x14ac:dyDescent="0.3">
      <c r="A121" s="158" t="s">
        <v>192</v>
      </c>
      <c r="B121" s="159"/>
      <c r="C121" s="327"/>
      <c r="D121" s="316">
        <f>SUM(D115:D117)</f>
        <v>932.85502926644904</v>
      </c>
    </row>
    <row r="124" spans="1:5" x14ac:dyDescent="0.25">
      <c r="A124" s="160" t="s">
        <v>218</v>
      </c>
      <c r="B124" s="160"/>
      <c r="C124" s="160"/>
    </row>
    <row r="125" spans="1:5" ht="16.5" thickBot="1" x14ac:dyDescent="0.3"/>
    <row r="126" spans="1:5" ht="16.5" thickBot="1" x14ac:dyDescent="0.3">
      <c r="A126" s="95"/>
      <c r="B126" s="121" t="s">
        <v>219</v>
      </c>
      <c r="C126" s="121" t="s">
        <v>163</v>
      </c>
    </row>
    <row r="127" spans="1:5" ht="16.5" thickBot="1" x14ac:dyDescent="0.3">
      <c r="A127" s="104" t="s">
        <v>164</v>
      </c>
      <c r="B127" s="98" t="s">
        <v>161</v>
      </c>
      <c r="C127" s="330">
        <f>C16</f>
        <v>2706.1099999999997</v>
      </c>
    </row>
    <row r="128" spans="1:5" ht="16.5" thickBot="1" x14ac:dyDescent="0.3">
      <c r="A128" s="104" t="s">
        <v>166</v>
      </c>
      <c r="B128" s="98" t="s">
        <v>176</v>
      </c>
      <c r="C128" s="330">
        <f>C60</f>
        <v>2685.1737399999997</v>
      </c>
    </row>
    <row r="129" spans="1:3" ht="16.5" thickBot="1" x14ac:dyDescent="0.3">
      <c r="A129" s="104" t="s">
        <v>168</v>
      </c>
      <c r="B129" s="98" t="s">
        <v>200</v>
      </c>
      <c r="C129" s="330">
        <f>C69</f>
        <v>334.98342428282217</v>
      </c>
    </row>
    <row r="130" spans="1:3" ht="16.5" thickBot="1" x14ac:dyDescent="0.3">
      <c r="A130" s="104" t="s">
        <v>170</v>
      </c>
      <c r="B130" s="98" t="s">
        <v>202</v>
      </c>
      <c r="C130" s="330">
        <f>C99</f>
        <v>291.39060903895</v>
      </c>
    </row>
    <row r="131" spans="1:3" ht="16.5" thickBot="1" x14ac:dyDescent="0.3">
      <c r="A131" s="104" t="s">
        <v>171</v>
      </c>
      <c r="B131" s="98" t="s">
        <v>214</v>
      </c>
      <c r="C131" s="330">
        <f>C109</f>
        <v>84.743333333333339</v>
      </c>
    </row>
    <row r="132" spans="1:3" ht="16.5" thickBot="1" x14ac:dyDescent="0.3">
      <c r="A132" s="158" t="s">
        <v>220</v>
      </c>
      <c r="B132" s="159"/>
      <c r="C132" s="330">
        <f>SUM(C127:C131)</f>
        <v>6102.4011066551047</v>
      </c>
    </row>
    <row r="133" spans="1:3" ht="16.5" thickBot="1" x14ac:dyDescent="0.3">
      <c r="A133" s="104" t="s">
        <v>173</v>
      </c>
      <c r="B133" s="98" t="s">
        <v>221</v>
      </c>
      <c r="C133" s="330">
        <f>D121</f>
        <v>932.85502926644904</v>
      </c>
    </row>
    <row r="134" spans="1:3" ht="16.5" thickBot="1" x14ac:dyDescent="0.3">
      <c r="A134" s="158" t="s">
        <v>222</v>
      </c>
      <c r="B134" s="159"/>
      <c r="C134" s="330">
        <f>C132+C133</f>
        <v>7035.2561359215542</v>
      </c>
    </row>
  </sheetData>
  <mergeCells count="30">
    <mergeCell ref="A109:B109"/>
    <mergeCell ref="A112:C112"/>
    <mergeCell ref="A121:B121"/>
    <mergeCell ref="A124:C124"/>
    <mergeCell ref="A132:B132"/>
    <mergeCell ref="A134:B134"/>
    <mergeCell ref="A84:B84"/>
    <mergeCell ref="A87:C87"/>
    <mergeCell ref="A91:B91"/>
    <mergeCell ref="A94:C94"/>
    <mergeCell ref="A99:B99"/>
    <mergeCell ref="A102:C102"/>
    <mergeCell ref="A54:C54"/>
    <mergeCell ref="A60:B60"/>
    <mergeCell ref="A63:C63"/>
    <mergeCell ref="A69:B69"/>
    <mergeCell ref="A72:C72"/>
    <mergeCell ref="A75:C75"/>
    <mergeCell ref="A21:C21"/>
    <mergeCell ref="A26:B26"/>
    <mergeCell ref="A29:D29"/>
    <mergeCell ref="A40:B40"/>
    <mergeCell ref="A43:C43"/>
    <mergeCell ref="A51:B51"/>
    <mergeCell ref="A1:D1"/>
    <mergeCell ref="A2:D2"/>
    <mergeCell ref="A3:D3"/>
    <mergeCell ref="A6:C6"/>
    <mergeCell ref="A16:B16"/>
    <mergeCell ref="A19:C19"/>
  </mergeCells>
  <pageMargins left="0.511811024" right="0.511811024" top="0.78740157499999996" bottom="0.78740157499999996" header="0.31496062000000002" footer="0.31496062000000002"/>
  <pageSetup paperSize="9" scale="8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
  <sheetViews>
    <sheetView showGridLines="0" zoomScale="115" zoomScaleNormal="115" workbookViewId="0">
      <selection activeCell="D135" sqref="A1:D135"/>
    </sheetView>
  </sheetViews>
  <sheetFormatPr defaultRowHeight="15.75" x14ac:dyDescent="0.25"/>
  <cols>
    <col min="1" max="1" width="9.140625" style="103"/>
    <col min="2" max="2" width="72.140625" style="103" customWidth="1"/>
    <col min="3" max="3" width="18" style="103" customWidth="1"/>
    <col min="4" max="4" width="14.28515625" style="103" customWidth="1"/>
    <col min="5" max="5" width="12.7109375" style="103" customWidth="1"/>
    <col min="6" max="6" width="12" style="103" customWidth="1"/>
    <col min="7" max="7" width="15.140625" style="103" customWidth="1"/>
    <col min="8" max="16384" width="9.140625" style="103"/>
  </cols>
  <sheetData>
    <row r="1" spans="1:4" ht="23.25" x14ac:dyDescent="0.35">
      <c r="A1" s="139" t="s">
        <v>223</v>
      </c>
      <c r="B1" s="139"/>
      <c r="C1" s="139"/>
      <c r="D1" s="139"/>
    </row>
    <row r="2" spans="1:4" ht="23.25" x14ac:dyDescent="0.35">
      <c r="A2" s="139" t="s">
        <v>225</v>
      </c>
      <c r="B2" s="139"/>
      <c r="C2" s="139"/>
      <c r="D2" s="139"/>
    </row>
    <row r="3" spans="1:4" x14ac:dyDescent="0.25">
      <c r="A3" s="163" t="s">
        <v>233</v>
      </c>
      <c r="B3" s="163"/>
      <c r="C3" s="163"/>
      <c r="D3" s="163"/>
    </row>
    <row r="6" spans="1:4" x14ac:dyDescent="0.25">
      <c r="A6" s="162" t="s">
        <v>161</v>
      </c>
      <c r="B6" s="162"/>
      <c r="C6" s="162"/>
    </row>
    <row r="7" spans="1:4" ht="16.5" thickBot="1" x14ac:dyDescent="0.3"/>
    <row r="8" spans="1:4" ht="16.5" thickBot="1" x14ac:dyDescent="0.3">
      <c r="A8" s="95">
        <v>1</v>
      </c>
      <c r="B8" s="121" t="s">
        <v>162</v>
      </c>
      <c r="C8" s="121" t="s">
        <v>163</v>
      </c>
    </row>
    <row r="9" spans="1:4" ht="16.5" thickBot="1" x14ac:dyDescent="0.3">
      <c r="A9" s="97" t="s">
        <v>164</v>
      </c>
      <c r="B9" s="98" t="s">
        <v>165</v>
      </c>
      <c r="C9" s="317">
        <f>'Custo por trabalhador'!B15</f>
        <v>1961</v>
      </c>
    </row>
    <row r="10" spans="1:4" ht="16.5" thickBot="1" x14ac:dyDescent="0.3">
      <c r="A10" s="97" t="s">
        <v>166</v>
      </c>
      <c r="B10" s="98" t="s">
        <v>167</v>
      </c>
      <c r="C10" s="317">
        <v>0</v>
      </c>
    </row>
    <row r="11" spans="1:4" ht="16.5" thickBot="1" x14ac:dyDescent="0.3">
      <c r="A11" s="97" t="s">
        <v>168</v>
      </c>
      <c r="B11" s="98" t="s">
        <v>169</v>
      </c>
      <c r="C11" s="317">
        <f>'Custo por trabalhador'!D47</f>
        <v>324.20000000000005</v>
      </c>
    </row>
    <row r="12" spans="1:4" ht="16.5" thickBot="1" x14ac:dyDescent="0.3">
      <c r="A12" s="97" t="s">
        <v>170</v>
      </c>
      <c r="B12" s="98" t="s">
        <v>11</v>
      </c>
      <c r="C12" s="317">
        <f>'Custo por trabalhador'!E64</f>
        <v>0</v>
      </c>
    </row>
    <row r="13" spans="1:4" ht="16.5" thickBot="1" x14ac:dyDescent="0.3">
      <c r="A13" s="97" t="s">
        <v>171</v>
      </c>
      <c r="B13" s="98" t="s">
        <v>172</v>
      </c>
      <c r="C13" s="317">
        <f>'Custo por trabalhador'!E78</f>
        <v>0</v>
      </c>
    </row>
    <row r="14" spans="1:4" ht="16.5" thickBot="1" x14ac:dyDescent="0.3">
      <c r="A14" s="97"/>
      <c r="B14" s="98"/>
      <c r="C14" s="317"/>
    </row>
    <row r="15" spans="1:4" ht="16.5" thickBot="1" x14ac:dyDescent="0.3">
      <c r="A15" s="97" t="s">
        <v>174</v>
      </c>
      <c r="B15" s="98" t="s">
        <v>175</v>
      </c>
      <c r="C15" s="317">
        <f>'Custo por trabalhador'!D30</f>
        <v>0</v>
      </c>
    </row>
    <row r="16" spans="1:4" ht="16.5" thickBot="1" x14ac:dyDescent="0.3">
      <c r="A16" s="158" t="s">
        <v>14</v>
      </c>
      <c r="B16" s="159"/>
      <c r="C16" s="317">
        <f>SUM(C9:C15)</f>
        <v>2285.1999999999998</v>
      </c>
    </row>
    <row r="19" spans="1:4" x14ac:dyDescent="0.25">
      <c r="A19" s="160" t="s">
        <v>176</v>
      </c>
      <c r="B19" s="160"/>
      <c r="C19" s="160"/>
    </row>
    <row r="20" spans="1:4" x14ac:dyDescent="0.25">
      <c r="A20" s="94"/>
    </row>
    <row r="21" spans="1:4" x14ac:dyDescent="0.25">
      <c r="A21" s="161" t="s">
        <v>177</v>
      </c>
      <c r="B21" s="161"/>
      <c r="C21" s="161"/>
    </row>
    <row r="22" spans="1:4" ht="16.5" thickBot="1" x14ac:dyDescent="0.3"/>
    <row r="23" spans="1:4" ht="16.5" thickBot="1" x14ac:dyDescent="0.3">
      <c r="A23" s="95" t="s">
        <v>178</v>
      </c>
      <c r="B23" s="121" t="s">
        <v>179</v>
      </c>
      <c r="C23" s="121" t="s">
        <v>163</v>
      </c>
    </row>
    <row r="24" spans="1:4" ht="16.5" thickBot="1" x14ac:dyDescent="0.3">
      <c r="A24" s="97" t="s">
        <v>164</v>
      </c>
      <c r="B24" s="98" t="s">
        <v>180</v>
      </c>
      <c r="C24" s="316">
        <f>'Custo por trabalhador'!D124</f>
        <v>190.43333333333331</v>
      </c>
    </row>
    <row r="25" spans="1:4" ht="16.5" thickBot="1" x14ac:dyDescent="0.3">
      <c r="A25" s="97" t="s">
        <v>166</v>
      </c>
      <c r="B25" s="98" t="s">
        <v>181</v>
      </c>
      <c r="C25" s="316">
        <f>'Custo por trabalhador'!D137+'Custo por trabalhador'!E150</f>
        <v>253.91111111111107</v>
      </c>
    </row>
    <row r="26" spans="1:4" ht="16.5" thickBot="1" x14ac:dyDescent="0.3">
      <c r="A26" s="158" t="s">
        <v>14</v>
      </c>
      <c r="B26" s="159"/>
      <c r="C26" s="316">
        <f>SUM(C24:C25)</f>
        <v>444.34444444444438</v>
      </c>
    </row>
    <row r="29" spans="1:4" ht="32.25" customHeight="1" x14ac:dyDescent="0.25">
      <c r="A29" s="164" t="s">
        <v>182</v>
      </c>
      <c r="B29" s="164"/>
      <c r="C29" s="164"/>
      <c r="D29" s="164"/>
    </row>
    <row r="30" spans="1:4" ht="16.5" thickBot="1" x14ac:dyDescent="0.3"/>
    <row r="31" spans="1:4" ht="16.5" thickBot="1" x14ac:dyDescent="0.3">
      <c r="A31" s="95" t="s">
        <v>183</v>
      </c>
      <c r="B31" s="121" t="s">
        <v>184</v>
      </c>
      <c r="C31" s="121" t="s">
        <v>185</v>
      </c>
      <c r="D31" s="121" t="s">
        <v>163</v>
      </c>
    </row>
    <row r="32" spans="1:4" ht="16.5" thickBot="1" x14ac:dyDescent="0.3">
      <c r="A32" s="97" t="s">
        <v>164</v>
      </c>
      <c r="B32" s="98" t="s">
        <v>186</v>
      </c>
      <c r="C32" s="99">
        <v>0.2</v>
      </c>
      <c r="D32" s="316">
        <f>(C26+C16)*C32</f>
        <v>545.9088888888889</v>
      </c>
    </row>
    <row r="33" spans="1:4" ht="16.5" thickBot="1" x14ac:dyDescent="0.3">
      <c r="A33" s="97" t="s">
        <v>166</v>
      </c>
      <c r="B33" s="98" t="s">
        <v>187</v>
      </c>
      <c r="C33" s="99">
        <v>2.5000000000000001E-2</v>
      </c>
      <c r="D33" s="316">
        <f>($C$26+$C$16)*C33</f>
        <v>68.238611111111112</v>
      </c>
    </row>
    <row r="34" spans="1:4" ht="16.5" thickBot="1" x14ac:dyDescent="0.3">
      <c r="A34" s="97" t="s">
        <v>168</v>
      </c>
      <c r="B34" s="98" t="s">
        <v>188</v>
      </c>
      <c r="C34" s="319">
        <f>'Custo por trabalhador'!B178</f>
        <v>0.03</v>
      </c>
      <c r="D34" s="316">
        <f>($C$26+$C$16)*C34</f>
        <v>81.886333333333326</v>
      </c>
    </row>
    <row r="35" spans="1:4" ht="16.5" thickBot="1" x14ac:dyDescent="0.3">
      <c r="A35" s="97" t="s">
        <v>170</v>
      </c>
      <c r="B35" s="98" t="s">
        <v>189</v>
      </c>
      <c r="C35" s="99">
        <v>1.4999999999999999E-2</v>
      </c>
      <c r="D35" s="316">
        <f>($C$26+$C$16)*C35</f>
        <v>40.943166666666663</v>
      </c>
    </row>
    <row r="36" spans="1:4" ht="16.5" thickBot="1" x14ac:dyDescent="0.3">
      <c r="A36" s="97" t="s">
        <v>171</v>
      </c>
      <c r="B36" s="98" t="s">
        <v>190</v>
      </c>
      <c r="C36" s="99">
        <v>0.01</v>
      </c>
      <c r="D36" s="316">
        <f>($C$26+$C$16)*C36</f>
        <v>27.295444444444442</v>
      </c>
    </row>
    <row r="37" spans="1:4" ht="16.5" thickBot="1" x14ac:dyDescent="0.3">
      <c r="A37" s="97" t="s">
        <v>173</v>
      </c>
      <c r="B37" s="98" t="s">
        <v>27</v>
      </c>
      <c r="C37" s="99">
        <v>6.0000000000000001E-3</v>
      </c>
      <c r="D37" s="316">
        <f>($C$26+$C$16)*C37</f>
        <v>16.377266666666667</v>
      </c>
    </row>
    <row r="38" spans="1:4" ht="16.5" thickBot="1" x14ac:dyDescent="0.3">
      <c r="A38" s="97" t="s">
        <v>174</v>
      </c>
      <c r="B38" s="98" t="s">
        <v>28</v>
      </c>
      <c r="C38" s="99">
        <v>2E-3</v>
      </c>
      <c r="D38" s="316">
        <f>($C$26+$C$16)*C38</f>
        <v>5.4590888888888882</v>
      </c>
    </row>
    <row r="39" spans="1:4" ht="16.5" thickBot="1" x14ac:dyDescent="0.3">
      <c r="A39" s="97" t="s">
        <v>191</v>
      </c>
      <c r="B39" s="98" t="s">
        <v>29</v>
      </c>
      <c r="C39" s="99">
        <v>0.08</v>
      </c>
      <c r="D39" s="316">
        <f>($C$26+$C$16)*C39</f>
        <v>218.36355555555554</v>
      </c>
    </row>
    <row r="40" spans="1:4" ht="16.5" thickBot="1" x14ac:dyDescent="0.3">
      <c r="A40" s="158" t="s">
        <v>192</v>
      </c>
      <c r="B40" s="159"/>
      <c r="C40" s="99">
        <f>SUM(C32:C39)</f>
        <v>0.36800000000000005</v>
      </c>
      <c r="D40" s="316">
        <f>SUM(D32:D39)</f>
        <v>1004.4723555555556</v>
      </c>
    </row>
    <row r="43" spans="1:4" x14ac:dyDescent="0.25">
      <c r="A43" s="161" t="s">
        <v>193</v>
      </c>
      <c r="B43" s="161"/>
      <c r="C43" s="161"/>
    </row>
    <row r="44" spans="1:4" ht="16.5" thickBot="1" x14ac:dyDescent="0.3"/>
    <row r="45" spans="1:4" ht="16.5" thickBot="1" x14ac:dyDescent="0.3">
      <c r="A45" s="95" t="s">
        <v>194</v>
      </c>
      <c r="B45" s="121" t="s">
        <v>195</v>
      </c>
      <c r="C45" s="121" t="s">
        <v>163</v>
      </c>
    </row>
    <row r="46" spans="1:4" ht="16.5" thickBot="1" x14ac:dyDescent="0.3">
      <c r="A46" s="97" t="s">
        <v>164</v>
      </c>
      <c r="B46" s="98" t="s">
        <v>196</v>
      </c>
      <c r="C46" s="316">
        <f>'Custo por trabalhador'!D259</f>
        <v>91.17</v>
      </c>
    </row>
    <row r="47" spans="1:4" ht="16.5" thickBot="1" x14ac:dyDescent="0.3">
      <c r="A47" s="97" t="s">
        <v>166</v>
      </c>
      <c r="B47" s="98" t="s">
        <v>197</v>
      </c>
      <c r="C47" s="316">
        <f>'Custo por trabalhador'!D299</f>
        <v>720</v>
      </c>
    </row>
    <row r="48" spans="1:4" ht="16.5" thickBot="1" x14ac:dyDescent="0.3">
      <c r="A48" s="97" t="s">
        <v>168</v>
      </c>
      <c r="B48" s="98" t="str">
        <f>'Custo por trabalhador'!D323</f>
        <v>Auxílio Saúde</v>
      </c>
      <c r="C48" s="316">
        <f>'Custo por trabalhador'!B314</f>
        <v>94.5</v>
      </c>
    </row>
    <row r="49" spans="1:3" ht="16.5" thickBot="1" x14ac:dyDescent="0.3">
      <c r="A49" s="97" t="s">
        <v>170</v>
      </c>
      <c r="B49" s="98" t="str">
        <f>'Custo por trabalhador'!E323</f>
        <v>Benefício Social Familiar</v>
      </c>
      <c r="C49" s="316">
        <f>'Custo por trabalhador'!C314</f>
        <v>31</v>
      </c>
    </row>
    <row r="50" spans="1:3" ht="16.5" thickBot="1" x14ac:dyDescent="0.3">
      <c r="A50" s="318" t="s">
        <v>171</v>
      </c>
      <c r="B50" s="98" t="str">
        <f>'Custo por trabalhador'!F323</f>
        <v>Fundo de Formação Profissional</v>
      </c>
      <c r="C50" s="316">
        <f>'Custo por trabalhador'!D314</f>
        <v>31</v>
      </c>
    </row>
    <row r="51" spans="1:3" ht="16.5" thickBot="1" x14ac:dyDescent="0.3">
      <c r="A51" s="158" t="s">
        <v>14</v>
      </c>
      <c r="B51" s="159"/>
      <c r="C51" s="316">
        <f>SUM(C46:C50)</f>
        <v>967.67</v>
      </c>
    </row>
    <row r="54" spans="1:3" x14ac:dyDescent="0.25">
      <c r="A54" s="161" t="s">
        <v>198</v>
      </c>
      <c r="B54" s="161"/>
      <c r="C54" s="161"/>
    </row>
    <row r="55" spans="1:3" ht="16.5" thickBot="1" x14ac:dyDescent="0.3"/>
    <row r="56" spans="1:3" ht="16.5" thickBot="1" x14ac:dyDescent="0.3">
      <c r="A56" s="95">
        <v>2</v>
      </c>
      <c r="B56" s="121" t="s">
        <v>199</v>
      </c>
      <c r="C56" s="121" t="s">
        <v>163</v>
      </c>
    </row>
    <row r="57" spans="1:3" ht="16.5" thickBot="1" x14ac:dyDescent="0.3">
      <c r="A57" s="97" t="s">
        <v>178</v>
      </c>
      <c r="B57" s="98" t="s">
        <v>179</v>
      </c>
      <c r="C57" s="316">
        <f>C26</f>
        <v>444.34444444444438</v>
      </c>
    </row>
    <row r="58" spans="1:3" ht="16.5" thickBot="1" x14ac:dyDescent="0.3">
      <c r="A58" s="97" t="s">
        <v>183</v>
      </c>
      <c r="B58" s="98" t="s">
        <v>184</v>
      </c>
      <c r="C58" s="316">
        <f>D40</f>
        <v>1004.4723555555556</v>
      </c>
    </row>
    <row r="59" spans="1:3" ht="16.5" thickBot="1" x14ac:dyDescent="0.3">
      <c r="A59" s="97" t="s">
        <v>194</v>
      </c>
      <c r="B59" s="98" t="s">
        <v>195</v>
      </c>
      <c r="C59" s="316">
        <f>C51</f>
        <v>967.67</v>
      </c>
    </row>
    <row r="60" spans="1:3" ht="16.5" thickBot="1" x14ac:dyDescent="0.3">
      <c r="A60" s="158" t="s">
        <v>14</v>
      </c>
      <c r="B60" s="159"/>
      <c r="C60" s="316">
        <f>SUM(C57:C59)</f>
        <v>2416.4868000000001</v>
      </c>
    </row>
    <row r="61" spans="1:3" x14ac:dyDescent="0.25">
      <c r="A61" s="13"/>
    </row>
    <row r="63" spans="1:3" x14ac:dyDescent="0.25">
      <c r="A63" s="160" t="s">
        <v>200</v>
      </c>
      <c r="B63" s="160"/>
      <c r="C63" s="160"/>
    </row>
    <row r="64" spans="1:3" ht="16.5" thickBot="1" x14ac:dyDescent="0.3"/>
    <row r="65" spans="1:3" ht="16.5" thickBot="1" x14ac:dyDescent="0.3">
      <c r="A65" s="95">
        <v>3</v>
      </c>
      <c r="B65" s="121" t="s">
        <v>201</v>
      </c>
      <c r="C65" s="121" t="s">
        <v>163</v>
      </c>
    </row>
    <row r="66" spans="1:3" ht="16.5" thickBot="1" x14ac:dyDescent="0.3">
      <c r="A66" s="97" t="s">
        <v>164</v>
      </c>
      <c r="B66" s="101" t="s">
        <v>321</v>
      </c>
      <c r="C66" s="316">
        <f>'Custo por trabalhador'!D396</f>
        <v>122.31234101650001</v>
      </c>
    </row>
    <row r="67" spans="1:3" x14ac:dyDescent="0.25">
      <c r="A67" s="320" t="s">
        <v>166</v>
      </c>
      <c r="B67" s="321" t="s">
        <v>322</v>
      </c>
      <c r="C67" s="322">
        <f>'Custo por trabalhador'!D438</f>
        <v>173.16816548105555</v>
      </c>
    </row>
    <row r="68" spans="1:3" x14ac:dyDescent="0.25">
      <c r="A68" s="168" t="s">
        <v>168</v>
      </c>
      <c r="B68" s="325" t="s">
        <v>320</v>
      </c>
      <c r="C68" s="315">
        <f>'Custo por trabalhador'!D467</f>
        <v>-4.4434444444444443</v>
      </c>
    </row>
    <row r="69" spans="1:3" ht="16.5" thickBot="1" x14ac:dyDescent="0.3">
      <c r="A69" s="323" t="s">
        <v>14</v>
      </c>
      <c r="B69" s="324"/>
      <c r="C69" s="316">
        <f>SUM(C66:C68)</f>
        <v>291.03706205311113</v>
      </c>
    </row>
    <row r="72" spans="1:3" x14ac:dyDescent="0.25">
      <c r="A72" s="160" t="s">
        <v>202</v>
      </c>
      <c r="B72" s="160"/>
      <c r="C72" s="160"/>
    </row>
    <row r="75" spans="1:3" x14ac:dyDescent="0.25">
      <c r="A75" s="161" t="s">
        <v>203</v>
      </c>
      <c r="B75" s="161"/>
      <c r="C75" s="161"/>
    </row>
    <row r="76" spans="1:3" ht="16.5" thickBot="1" x14ac:dyDescent="0.3">
      <c r="A76" s="94"/>
    </row>
    <row r="77" spans="1:3" ht="16.5" thickBot="1" x14ac:dyDescent="0.3">
      <c r="A77" s="95" t="s">
        <v>204</v>
      </c>
      <c r="B77" s="121" t="s">
        <v>205</v>
      </c>
      <c r="C77" s="121" t="s">
        <v>163</v>
      </c>
    </row>
    <row r="78" spans="1:3" ht="16.5" thickBot="1" x14ac:dyDescent="0.3">
      <c r="A78" s="97" t="s">
        <v>164</v>
      </c>
      <c r="B78" s="98" t="s">
        <v>18</v>
      </c>
      <c r="C78" s="316">
        <f>'Custo por trabalhador'!E497*'Custo por trabalhador'!D535/12</f>
        <v>208.0301609188796</v>
      </c>
    </row>
    <row r="79" spans="1:3" ht="16.5" thickBot="1" x14ac:dyDescent="0.3">
      <c r="A79" s="97" t="s">
        <v>166</v>
      </c>
      <c r="B79" s="98" t="s">
        <v>205</v>
      </c>
      <c r="C79" s="316">
        <f>'Custo por trabalhador'!D535*'Custo por trabalhador'!E498/12</f>
        <v>13.868677394591975</v>
      </c>
    </row>
    <row r="80" spans="1:3" ht="16.5" thickBot="1" x14ac:dyDescent="0.3">
      <c r="A80" s="97" t="s">
        <v>168</v>
      </c>
      <c r="B80" s="98" t="s">
        <v>206</v>
      </c>
      <c r="C80" s="316">
        <f>'Custo por trabalhador'!E506*'Custo por trabalhador'!D535/12</f>
        <v>1.9832208674266525</v>
      </c>
    </row>
    <row r="81" spans="1:3" ht="16.5" thickBot="1" x14ac:dyDescent="0.3">
      <c r="A81" s="97" t="s">
        <v>170</v>
      </c>
      <c r="B81" s="98" t="s">
        <v>207</v>
      </c>
      <c r="C81" s="316">
        <f>'Custo por trabalhador'!D535/'Custo por trabalhador'!E499/12</f>
        <v>20.05593260244682</v>
      </c>
    </row>
    <row r="82" spans="1:3" ht="16.5" thickBot="1" x14ac:dyDescent="0.3">
      <c r="A82" s="97" t="s">
        <v>171</v>
      </c>
      <c r="B82" s="98" t="s">
        <v>208</v>
      </c>
      <c r="C82" s="316">
        <f>'Custo por trabalhador'!D535*'Custo por trabalhador'!E507/12</f>
        <v>24.589165020611571</v>
      </c>
    </row>
    <row r="83" spans="1:3" ht="16.5" thickBot="1" x14ac:dyDescent="0.3">
      <c r="A83" s="97" t="s">
        <v>173</v>
      </c>
      <c r="B83" s="98" t="s">
        <v>175</v>
      </c>
      <c r="C83" s="316">
        <f>'Custo por trabalhador'!E546-C78-C79-C80-C81-C82</f>
        <v>22.863452234993392</v>
      </c>
    </row>
    <row r="84" spans="1:3" ht="16.5" thickBot="1" x14ac:dyDescent="0.3">
      <c r="A84" s="158" t="s">
        <v>192</v>
      </c>
      <c r="B84" s="159"/>
      <c r="C84" s="316">
        <f>SUM(C78:C83)</f>
        <v>291.39060903895006</v>
      </c>
    </row>
    <row r="87" spans="1:3" x14ac:dyDescent="0.25">
      <c r="A87" s="161" t="s">
        <v>209</v>
      </c>
      <c r="B87" s="161"/>
      <c r="C87" s="161"/>
    </row>
    <row r="88" spans="1:3" ht="16.5" thickBot="1" x14ac:dyDescent="0.3">
      <c r="A88" s="94"/>
    </row>
    <row r="89" spans="1:3" ht="16.5" thickBot="1" x14ac:dyDescent="0.3">
      <c r="A89" s="95" t="s">
        <v>210</v>
      </c>
      <c r="B89" s="121" t="s">
        <v>211</v>
      </c>
      <c r="C89" s="121" t="s">
        <v>163</v>
      </c>
    </row>
    <row r="90" spans="1:3" ht="16.5" thickBot="1" x14ac:dyDescent="0.3">
      <c r="A90" s="97" t="s">
        <v>164</v>
      </c>
      <c r="B90" s="98" t="s">
        <v>234</v>
      </c>
      <c r="C90" s="316">
        <f>'Custo por trabalhador'!D574</f>
        <v>0</v>
      </c>
    </row>
    <row r="91" spans="1:3" ht="16.5" thickBot="1" x14ac:dyDescent="0.3">
      <c r="A91" s="158" t="s">
        <v>14</v>
      </c>
      <c r="B91" s="159"/>
      <c r="C91" s="316">
        <f>SUM(C90)</f>
        <v>0</v>
      </c>
    </row>
    <row r="94" spans="1:3" x14ac:dyDescent="0.25">
      <c r="A94" s="161" t="s">
        <v>212</v>
      </c>
      <c r="B94" s="161"/>
      <c r="C94" s="161"/>
    </row>
    <row r="95" spans="1:3" ht="16.5" thickBot="1" x14ac:dyDescent="0.3">
      <c r="A95" s="94"/>
    </row>
    <row r="96" spans="1:3" ht="16.5" thickBot="1" x14ac:dyDescent="0.3">
      <c r="A96" s="95">
        <v>4</v>
      </c>
      <c r="B96" s="121" t="s">
        <v>213</v>
      </c>
      <c r="C96" s="121" t="s">
        <v>163</v>
      </c>
    </row>
    <row r="97" spans="1:3" ht="16.5" thickBot="1" x14ac:dyDescent="0.3">
      <c r="A97" s="97" t="s">
        <v>204</v>
      </c>
      <c r="B97" s="98" t="s">
        <v>205</v>
      </c>
      <c r="C97" s="316">
        <f>C84</f>
        <v>291.39060903895006</v>
      </c>
    </row>
    <row r="98" spans="1:3" ht="16.5" thickBot="1" x14ac:dyDescent="0.3">
      <c r="A98" s="97" t="s">
        <v>210</v>
      </c>
      <c r="B98" s="98" t="s">
        <v>211</v>
      </c>
      <c r="C98" s="316">
        <f>C91</f>
        <v>0</v>
      </c>
    </row>
    <row r="99" spans="1:3" ht="16.5" thickBot="1" x14ac:dyDescent="0.3">
      <c r="A99" s="158" t="s">
        <v>14</v>
      </c>
      <c r="B99" s="159"/>
      <c r="C99" s="316">
        <f>SUM(C97:C98)</f>
        <v>291.39060903895006</v>
      </c>
    </row>
    <row r="102" spans="1:3" x14ac:dyDescent="0.25">
      <c r="A102" s="160" t="s">
        <v>214</v>
      </c>
      <c r="B102" s="160"/>
      <c r="C102" s="160"/>
    </row>
    <row r="103" spans="1:3" ht="16.5" thickBot="1" x14ac:dyDescent="0.3"/>
    <row r="104" spans="1:3" ht="16.5" thickBot="1" x14ac:dyDescent="0.3">
      <c r="A104" s="95">
        <v>5</v>
      </c>
      <c r="B104" s="102" t="s">
        <v>124</v>
      </c>
      <c r="C104" s="121" t="s">
        <v>163</v>
      </c>
    </row>
    <row r="105" spans="1:3" ht="16.5" thickBot="1" x14ac:dyDescent="0.3">
      <c r="A105" s="97" t="s">
        <v>164</v>
      </c>
      <c r="B105" s="98" t="s">
        <v>215</v>
      </c>
      <c r="C105" s="316">
        <f>'Custo por trabalhador'!C614</f>
        <v>19.797500000000003</v>
      </c>
    </row>
    <row r="106" spans="1:3" ht="16.5" thickBot="1" x14ac:dyDescent="0.3">
      <c r="A106" s="97" t="s">
        <v>166</v>
      </c>
      <c r="B106" s="98" t="s">
        <v>216</v>
      </c>
      <c r="C106" s="316">
        <v>0</v>
      </c>
    </row>
    <row r="107" spans="1:3" ht="16.5" thickBot="1" x14ac:dyDescent="0.3">
      <c r="A107" s="97" t="s">
        <v>168</v>
      </c>
      <c r="B107" s="326" t="s">
        <v>326</v>
      </c>
      <c r="C107" s="316">
        <f>'Custo por trabalhador'!D637</f>
        <v>12.176499999999999</v>
      </c>
    </row>
    <row r="108" spans="1:3" ht="16.5" thickBot="1" x14ac:dyDescent="0.3">
      <c r="A108" s="97" t="s">
        <v>170</v>
      </c>
      <c r="B108" s="98" t="s">
        <v>175</v>
      </c>
      <c r="C108" s="317">
        <v>0</v>
      </c>
    </row>
    <row r="109" spans="1:3" ht="16.5" thickBot="1" x14ac:dyDescent="0.3">
      <c r="A109" s="158" t="s">
        <v>192</v>
      </c>
      <c r="B109" s="159"/>
      <c r="C109" s="316">
        <f>SUM(C105:C108)</f>
        <v>31.974000000000004</v>
      </c>
    </row>
    <row r="112" spans="1:3" x14ac:dyDescent="0.25">
      <c r="A112" s="160" t="s">
        <v>217</v>
      </c>
      <c r="B112" s="160"/>
      <c r="C112" s="160"/>
    </row>
    <row r="113" spans="1:5" ht="16.5" thickBot="1" x14ac:dyDescent="0.3"/>
    <row r="114" spans="1:5" ht="16.5" thickBot="1" x14ac:dyDescent="0.3">
      <c r="A114" s="95">
        <v>6</v>
      </c>
      <c r="B114" s="102" t="s">
        <v>125</v>
      </c>
      <c r="C114" s="121" t="s">
        <v>185</v>
      </c>
      <c r="D114" s="121" t="s">
        <v>163</v>
      </c>
    </row>
    <row r="115" spans="1:5" ht="16.5" thickBot="1" x14ac:dyDescent="0.3">
      <c r="A115" s="97" t="s">
        <v>164</v>
      </c>
      <c r="B115" s="98" t="s">
        <v>148</v>
      </c>
      <c r="C115" s="99">
        <f>'Custo por trabalhador'!B661</f>
        <v>0.03</v>
      </c>
      <c r="D115" s="316">
        <f>'Custo por trabalhador'!D670*'D COPACOZINHA 12X36 DIU'!C115</f>
        <v>28.155393669939404</v>
      </c>
    </row>
    <row r="116" spans="1:5" ht="16.5" thickBot="1" x14ac:dyDescent="0.3">
      <c r="A116" s="97" t="s">
        <v>166</v>
      </c>
      <c r="B116" s="98" t="s">
        <v>150</v>
      </c>
      <c r="C116" s="99">
        <f>'Custo por trabalhador'!B663</f>
        <v>6.7900000000000002E-2</v>
      </c>
      <c r="D116" s="316">
        <f>'Custo por trabalhador'!E697*'Custo por trabalhador'!B663</f>
        <v>425.10875800832315</v>
      </c>
    </row>
    <row r="117" spans="1:5" ht="16.5" thickBot="1" x14ac:dyDescent="0.3">
      <c r="A117" s="97" t="s">
        <v>168</v>
      </c>
      <c r="B117" s="98" t="s">
        <v>149</v>
      </c>
      <c r="C117" s="99">
        <f>'Custo por trabalhador'!B662</f>
        <v>5.6500000000000002E-2</v>
      </c>
      <c r="D117" s="316">
        <f>'Custo por trabalhador'!D697*'D COPACOZINHA 12X36 DIU'!C117</f>
        <v>408.90225082221838</v>
      </c>
    </row>
    <row r="118" spans="1:5" ht="16.5" thickBot="1" x14ac:dyDescent="0.3">
      <c r="A118" s="97"/>
      <c r="B118" s="98" t="s">
        <v>324</v>
      </c>
      <c r="C118" s="331">
        <v>6.4999999999999997E-3</v>
      </c>
      <c r="D118" s="329">
        <f>'Custo por trabalhador'!E697*0.65%</f>
        <v>40.695241930104572</v>
      </c>
    </row>
    <row r="119" spans="1:5" ht="16.5" thickBot="1" x14ac:dyDescent="0.3">
      <c r="A119" s="97"/>
      <c r="B119" s="98" t="s">
        <v>325</v>
      </c>
      <c r="C119" s="327">
        <v>0.03</v>
      </c>
      <c r="D119" s="329">
        <f>'Custo por trabalhador'!E697*3%</f>
        <v>187.82419352355956</v>
      </c>
    </row>
    <row r="120" spans="1:5" ht="16.5" thickBot="1" x14ac:dyDescent="0.3">
      <c r="A120" s="97"/>
      <c r="B120" s="98" t="s">
        <v>323</v>
      </c>
      <c r="C120" s="327">
        <v>0.02</v>
      </c>
      <c r="D120" s="329">
        <f>'Custo por trabalhador'!E697*2%</f>
        <v>125.21612901570637</v>
      </c>
      <c r="E120" s="328"/>
    </row>
    <row r="121" spans="1:5" ht="16.5" thickBot="1" x14ac:dyDescent="0.3">
      <c r="A121" s="158" t="s">
        <v>192</v>
      </c>
      <c r="B121" s="159"/>
      <c r="C121" s="327"/>
      <c r="D121" s="316">
        <f>SUM(D115:D117)</f>
        <v>862.1664025004809</v>
      </c>
    </row>
    <row r="124" spans="1:5" x14ac:dyDescent="0.25">
      <c r="A124" s="160" t="s">
        <v>218</v>
      </c>
      <c r="B124" s="160"/>
      <c r="C124" s="160"/>
    </row>
    <row r="125" spans="1:5" ht="16.5" thickBot="1" x14ac:dyDescent="0.3"/>
    <row r="126" spans="1:5" ht="16.5" thickBot="1" x14ac:dyDescent="0.3">
      <c r="A126" s="95"/>
      <c r="B126" s="121" t="s">
        <v>219</v>
      </c>
      <c r="C126" s="121" t="s">
        <v>163</v>
      </c>
    </row>
    <row r="127" spans="1:5" ht="16.5" thickBot="1" x14ac:dyDescent="0.3">
      <c r="A127" s="104" t="s">
        <v>164</v>
      </c>
      <c r="B127" s="98" t="s">
        <v>161</v>
      </c>
      <c r="C127" s="330">
        <f>C16</f>
        <v>2285.1999999999998</v>
      </c>
    </row>
    <row r="128" spans="1:5" ht="16.5" thickBot="1" x14ac:dyDescent="0.3">
      <c r="A128" s="104" t="s">
        <v>166</v>
      </c>
      <c r="B128" s="98" t="s">
        <v>176</v>
      </c>
      <c r="C128" s="330">
        <f>C60</f>
        <v>2416.4868000000001</v>
      </c>
    </row>
    <row r="129" spans="1:3" ht="16.5" thickBot="1" x14ac:dyDescent="0.3">
      <c r="A129" s="104" t="s">
        <v>168</v>
      </c>
      <c r="B129" s="98" t="s">
        <v>200</v>
      </c>
      <c r="C129" s="330">
        <f>C69</f>
        <v>291.03706205311113</v>
      </c>
    </row>
    <row r="130" spans="1:3" ht="16.5" thickBot="1" x14ac:dyDescent="0.3">
      <c r="A130" s="104" t="s">
        <v>170</v>
      </c>
      <c r="B130" s="98" t="s">
        <v>202</v>
      </c>
      <c r="C130" s="330">
        <f>C99</f>
        <v>291.39060903895006</v>
      </c>
    </row>
    <row r="131" spans="1:3" ht="16.5" thickBot="1" x14ac:dyDescent="0.3">
      <c r="A131" s="104" t="s">
        <v>171</v>
      </c>
      <c r="B131" s="98" t="s">
        <v>214</v>
      </c>
      <c r="C131" s="330">
        <f>C109</f>
        <v>31.974000000000004</v>
      </c>
    </row>
    <row r="132" spans="1:3" ht="16.5" thickBot="1" x14ac:dyDescent="0.3">
      <c r="A132" s="158" t="s">
        <v>220</v>
      </c>
      <c r="B132" s="159"/>
      <c r="C132" s="330">
        <f>SUM(C127:C131)</f>
        <v>5316.0884710920609</v>
      </c>
    </row>
    <row r="133" spans="1:3" ht="16.5" thickBot="1" x14ac:dyDescent="0.3">
      <c r="A133" s="104" t="s">
        <v>173</v>
      </c>
      <c r="B133" s="98" t="s">
        <v>221</v>
      </c>
      <c r="C133" s="330">
        <f>D121</f>
        <v>862.1664025004809</v>
      </c>
    </row>
    <row r="134" spans="1:3" ht="16.5" thickBot="1" x14ac:dyDescent="0.3">
      <c r="A134" s="158" t="s">
        <v>222</v>
      </c>
      <c r="B134" s="159"/>
      <c r="C134" s="330">
        <f>C132+C133</f>
        <v>6178.254873592542</v>
      </c>
    </row>
  </sheetData>
  <mergeCells count="30">
    <mergeCell ref="A109:B109"/>
    <mergeCell ref="A112:C112"/>
    <mergeCell ref="A121:B121"/>
    <mergeCell ref="A124:C124"/>
    <mergeCell ref="A132:B132"/>
    <mergeCell ref="A134:B134"/>
    <mergeCell ref="A84:B84"/>
    <mergeCell ref="A87:C87"/>
    <mergeCell ref="A91:B91"/>
    <mergeCell ref="A94:C94"/>
    <mergeCell ref="A99:B99"/>
    <mergeCell ref="A102:C102"/>
    <mergeCell ref="A54:C54"/>
    <mergeCell ref="A60:B60"/>
    <mergeCell ref="A63:C63"/>
    <mergeCell ref="A69:B69"/>
    <mergeCell ref="A72:C72"/>
    <mergeCell ref="A75:C75"/>
    <mergeCell ref="A21:C21"/>
    <mergeCell ref="A26:B26"/>
    <mergeCell ref="A29:D29"/>
    <mergeCell ref="A40:B40"/>
    <mergeCell ref="A43:C43"/>
    <mergeCell ref="A51:B51"/>
    <mergeCell ref="A1:D1"/>
    <mergeCell ref="A2:D2"/>
    <mergeCell ref="A3:D3"/>
    <mergeCell ref="A6:C6"/>
    <mergeCell ref="A16:B16"/>
    <mergeCell ref="A19:C19"/>
  </mergeCells>
  <pageMargins left="0.511811024" right="0.511811024" top="0.78740157499999996" bottom="0.78740157499999996" header="0.31496062000000002" footer="0.31496062000000002"/>
  <pageSetup paperSize="9" scale="81"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
  <sheetViews>
    <sheetView showGridLines="0" zoomScale="115" zoomScaleNormal="115" workbookViewId="0">
      <selection activeCell="D134" sqref="A1:D134"/>
    </sheetView>
  </sheetViews>
  <sheetFormatPr defaultRowHeight="15.75" x14ac:dyDescent="0.25"/>
  <cols>
    <col min="1" max="1" width="9.140625" style="103"/>
    <col min="2" max="2" width="72.140625" style="103" customWidth="1"/>
    <col min="3" max="3" width="18" style="103" customWidth="1"/>
    <col min="4" max="4" width="14.28515625" style="103" customWidth="1"/>
    <col min="5" max="5" width="12.7109375" style="103" customWidth="1"/>
    <col min="6" max="6" width="12" style="103" customWidth="1"/>
    <col min="7" max="7" width="15.140625" style="103" customWidth="1"/>
    <col min="8" max="16384" width="9.140625" style="103"/>
  </cols>
  <sheetData>
    <row r="1" spans="1:4" ht="23.25" x14ac:dyDescent="0.35">
      <c r="A1" s="139" t="s">
        <v>223</v>
      </c>
      <c r="B1" s="139"/>
      <c r="C1" s="139"/>
      <c r="D1" s="139"/>
    </row>
    <row r="2" spans="1:4" ht="23.25" x14ac:dyDescent="0.35">
      <c r="A2" s="139" t="s">
        <v>225</v>
      </c>
      <c r="B2" s="139"/>
      <c r="C2" s="139"/>
      <c r="D2" s="139"/>
    </row>
    <row r="3" spans="1:4" x14ac:dyDescent="0.25">
      <c r="A3" s="163" t="s">
        <v>233</v>
      </c>
      <c r="B3" s="163"/>
      <c r="C3" s="163"/>
      <c r="D3" s="163"/>
    </row>
    <row r="6" spans="1:4" x14ac:dyDescent="0.25">
      <c r="A6" s="162" t="s">
        <v>161</v>
      </c>
      <c r="B6" s="162"/>
      <c r="C6" s="162"/>
    </row>
    <row r="7" spans="1:4" ht="16.5" thickBot="1" x14ac:dyDescent="0.3"/>
    <row r="8" spans="1:4" ht="16.5" thickBot="1" x14ac:dyDescent="0.3">
      <c r="A8" s="95">
        <v>1</v>
      </c>
      <c r="B8" s="121" t="s">
        <v>162</v>
      </c>
      <c r="C8" s="121" t="s">
        <v>163</v>
      </c>
    </row>
    <row r="9" spans="1:4" ht="16.5" thickBot="1" x14ac:dyDescent="0.3">
      <c r="A9" s="97" t="s">
        <v>164</v>
      </c>
      <c r="B9" s="98" t="s">
        <v>165</v>
      </c>
      <c r="C9" s="317">
        <f>'Custo por trabalhador'!B16</f>
        <v>1961</v>
      </c>
    </row>
    <row r="10" spans="1:4" ht="16.5" thickBot="1" x14ac:dyDescent="0.3">
      <c r="A10" s="97" t="s">
        <v>166</v>
      </c>
      <c r="B10" s="98" t="s">
        <v>167</v>
      </c>
      <c r="C10" s="317">
        <v>0</v>
      </c>
    </row>
    <row r="11" spans="1:4" ht="16.5" thickBot="1" x14ac:dyDescent="0.3">
      <c r="A11" s="97" t="s">
        <v>168</v>
      </c>
      <c r="B11" s="98" t="s">
        <v>169</v>
      </c>
      <c r="C11" s="317">
        <f>'Custo por trabalhador'!D48</f>
        <v>324.20000000000005</v>
      </c>
    </row>
    <row r="12" spans="1:4" ht="16.5" thickBot="1" x14ac:dyDescent="0.3">
      <c r="A12" s="97" t="s">
        <v>170</v>
      </c>
      <c r="B12" s="98" t="s">
        <v>11</v>
      </c>
      <c r="C12" s="317">
        <f>'Custo por trabalhador'!E65</f>
        <v>0</v>
      </c>
    </row>
    <row r="13" spans="1:4" ht="16.5" thickBot="1" x14ac:dyDescent="0.3">
      <c r="A13" s="97" t="s">
        <v>171</v>
      </c>
      <c r="B13" s="98" t="s">
        <v>172</v>
      </c>
      <c r="C13" s="317">
        <f>'Custo por trabalhador'!E79</f>
        <v>0</v>
      </c>
    </row>
    <row r="14" spans="1:4" ht="16.5" thickBot="1" x14ac:dyDescent="0.3">
      <c r="A14" s="97"/>
      <c r="B14" s="98"/>
      <c r="C14" s="317"/>
    </row>
    <row r="15" spans="1:4" ht="16.5" thickBot="1" x14ac:dyDescent="0.3">
      <c r="A15" s="97" t="s">
        <v>174</v>
      </c>
      <c r="B15" s="98" t="s">
        <v>175</v>
      </c>
      <c r="C15" s="317">
        <f>'Custo por trabalhador'!D30</f>
        <v>0</v>
      </c>
    </row>
    <row r="16" spans="1:4" ht="16.5" thickBot="1" x14ac:dyDescent="0.3">
      <c r="A16" s="158" t="s">
        <v>14</v>
      </c>
      <c r="B16" s="159"/>
      <c r="C16" s="317">
        <f>SUM(C9:C15)</f>
        <v>2285.1999999999998</v>
      </c>
    </row>
    <row r="19" spans="1:4" x14ac:dyDescent="0.25">
      <c r="A19" s="160" t="s">
        <v>176</v>
      </c>
      <c r="B19" s="160"/>
      <c r="C19" s="160"/>
    </row>
    <row r="20" spans="1:4" x14ac:dyDescent="0.25">
      <c r="A20" s="94"/>
    </row>
    <row r="21" spans="1:4" x14ac:dyDescent="0.25">
      <c r="A21" s="161" t="s">
        <v>177</v>
      </c>
      <c r="B21" s="161"/>
      <c r="C21" s="161"/>
    </row>
    <row r="22" spans="1:4" ht="16.5" thickBot="1" x14ac:dyDescent="0.3"/>
    <row r="23" spans="1:4" ht="16.5" thickBot="1" x14ac:dyDescent="0.3">
      <c r="A23" s="95" t="s">
        <v>178</v>
      </c>
      <c r="B23" s="121" t="s">
        <v>179</v>
      </c>
      <c r="C23" s="121" t="s">
        <v>163</v>
      </c>
    </row>
    <row r="24" spans="1:4" ht="16.5" thickBot="1" x14ac:dyDescent="0.3">
      <c r="A24" s="97" t="s">
        <v>164</v>
      </c>
      <c r="B24" s="98" t="s">
        <v>180</v>
      </c>
      <c r="C24" s="316">
        <f>'Custo por trabalhador'!D125</f>
        <v>190.43333333333331</v>
      </c>
    </row>
    <row r="25" spans="1:4" ht="16.5" thickBot="1" x14ac:dyDescent="0.3">
      <c r="A25" s="97" t="s">
        <v>166</v>
      </c>
      <c r="B25" s="98" t="s">
        <v>181</v>
      </c>
      <c r="C25" s="316">
        <f>'Custo por trabalhador'!D138+'Custo por trabalhador'!E151</f>
        <v>253.91111111111107</v>
      </c>
    </row>
    <row r="26" spans="1:4" ht="16.5" thickBot="1" x14ac:dyDescent="0.3">
      <c r="A26" s="158" t="s">
        <v>14</v>
      </c>
      <c r="B26" s="159"/>
      <c r="C26" s="316">
        <f>SUM(C24:C25)</f>
        <v>444.34444444444438</v>
      </c>
    </row>
    <row r="29" spans="1:4" ht="32.25" customHeight="1" x14ac:dyDescent="0.25">
      <c r="A29" s="164" t="s">
        <v>182</v>
      </c>
      <c r="B29" s="164"/>
      <c r="C29" s="164"/>
      <c r="D29" s="164"/>
    </row>
    <row r="30" spans="1:4" ht="16.5" thickBot="1" x14ac:dyDescent="0.3"/>
    <row r="31" spans="1:4" ht="16.5" thickBot="1" x14ac:dyDescent="0.3">
      <c r="A31" s="95" t="s">
        <v>183</v>
      </c>
      <c r="B31" s="121" t="s">
        <v>184</v>
      </c>
      <c r="C31" s="121" t="s">
        <v>185</v>
      </c>
      <c r="D31" s="121" t="s">
        <v>163</v>
      </c>
    </row>
    <row r="32" spans="1:4" ht="16.5" thickBot="1" x14ac:dyDescent="0.3">
      <c r="A32" s="97" t="s">
        <v>164</v>
      </c>
      <c r="B32" s="98" t="s">
        <v>186</v>
      </c>
      <c r="C32" s="99">
        <v>0.2</v>
      </c>
      <c r="D32" s="316">
        <f>(C26+C16)*C32</f>
        <v>545.9088888888889</v>
      </c>
    </row>
    <row r="33" spans="1:4" ht="16.5" thickBot="1" x14ac:dyDescent="0.3">
      <c r="A33" s="97" t="s">
        <v>166</v>
      </c>
      <c r="B33" s="98" t="s">
        <v>187</v>
      </c>
      <c r="C33" s="99">
        <v>2.5000000000000001E-2</v>
      </c>
      <c r="D33" s="316">
        <f>($C$26+$C$16)*C33</f>
        <v>68.238611111111112</v>
      </c>
    </row>
    <row r="34" spans="1:4" ht="16.5" thickBot="1" x14ac:dyDescent="0.3">
      <c r="A34" s="97" t="s">
        <v>168</v>
      </c>
      <c r="B34" s="98" t="s">
        <v>188</v>
      </c>
      <c r="C34" s="319">
        <f>'Custo por trabalhador'!B178</f>
        <v>0.03</v>
      </c>
      <c r="D34" s="316">
        <f>($C$26+$C$16)*C34</f>
        <v>81.886333333333326</v>
      </c>
    </row>
    <row r="35" spans="1:4" ht="16.5" thickBot="1" x14ac:dyDescent="0.3">
      <c r="A35" s="97" t="s">
        <v>170</v>
      </c>
      <c r="B35" s="98" t="s">
        <v>189</v>
      </c>
      <c r="C35" s="99">
        <v>1.4999999999999999E-2</v>
      </c>
      <c r="D35" s="316">
        <f>($C$26+$C$16)*C35</f>
        <v>40.943166666666663</v>
      </c>
    </row>
    <row r="36" spans="1:4" ht="16.5" thickBot="1" x14ac:dyDescent="0.3">
      <c r="A36" s="97" t="s">
        <v>171</v>
      </c>
      <c r="B36" s="98" t="s">
        <v>190</v>
      </c>
      <c r="C36" s="99">
        <v>0.01</v>
      </c>
      <c r="D36" s="316">
        <f>($C$26+$C$16)*C36</f>
        <v>27.295444444444442</v>
      </c>
    </row>
    <row r="37" spans="1:4" ht="16.5" thickBot="1" x14ac:dyDescent="0.3">
      <c r="A37" s="97" t="s">
        <v>173</v>
      </c>
      <c r="B37" s="98" t="s">
        <v>27</v>
      </c>
      <c r="C37" s="99">
        <v>6.0000000000000001E-3</v>
      </c>
      <c r="D37" s="316">
        <f>($C$26+$C$16)*C37</f>
        <v>16.377266666666667</v>
      </c>
    </row>
    <row r="38" spans="1:4" ht="16.5" thickBot="1" x14ac:dyDescent="0.3">
      <c r="A38" s="97" t="s">
        <v>174</v>
      </c>
      <c r="B38" s="98" t="s">
        <v>28</v>
      </c>
      <c r="C38" s="99">
        <v>2E-3</v>
      </c>
      <c r="D38" s="316">
        <f>($C$26+$C$16)*C38</f>
        <v>5.4590888888888882</v>
      </c>
    </row>
    <row r="39" spans="1:4" ht="16.5" thickBot="1" x14ac:dyDescent="0.3">
      <c r="A39" s="97" t="s">
        <v>191</v>
      </c>
      <c r="B39" s="98" t="s">
        <v>29</v>
      </c>
      <c r="C39" s="99">
        <v>0.08</v>
      </c>
      <c r="D39" s="316">
        <f>($C$26+$C$16)*C39</f>
        <v>218.36355555555554</v>
      </c>
    </row>
    <row r="40" spans="1:4" ht="16.5" thickBot="1" x14ac:dyDescent="0.3">
      <c r="A40" s="158" t="s">
        <v>192</v>
      </c>
      <c r="B40" s="159"/>
      <c r="C40" s="99">
        <f>SUM(C32:C39)</f>
        <v>0.36800000000000005</v>
      </c>
      <c r="D40" s="316">
        <f>SUM(D32:D39)</f>
        <v>1004.4723555555556</v>
      </c>
    </row>
    <row r="43" spans="1:4" x14ac:dyDescent="0.25">
      <c r="A43" s="161" t="s">
        <v>193</v>
      </c>
      <c r="B43" s="161"/>
      <c r="C43" s="161"/>
    </row>
    <row r="44" spans="1:4" ht="16.5" thickBot="1" x14ac:dyDescent="0.3"/>
    <row r="45" spans="1:4" ht="16.5" thickBot="1" x14ac:dyDescent="0.3">
      <c r="A45" s="95" t="s">
        <v>194</v>
      </c>
      <c r="B45" s="121" t="s">
        <v>195</v>
      </c>
      <c r="C45" s="121" t="s">
        <v>163</v>
      </c>
    </row>
    <row r="46" spans="1:4" ht="16.5" thickBot="1" x14ac:dyDescent="0.3">
      <c r="A46" s="97" t="s">
        <v>164</v>
      </c>
      <c r="B46" s="98" t="s">
        <v>196</v>
      </c>
      <c r="C46" s="316">
        <f>'Custo por trabalhador'!D260</f>
        <v>91.17</v>
      </c>
    </row>
    <row r="47" spans="1:4" ht="16.5" thickBot="1" x14ac:dyDescent="0.3">
      <c r="A47" s="97" t="s">
        <v>166</v>
      </c>
      <c r="B47" s="98" t="s">
        <v>197</v>
      </c>
      <c r="C47" s="316">
        <f>'Custo por trabalhador'!D300</f>
        <v>720</v>
      </c>
    </row>
    <row r="48" spans="1:4" ht="16.5" thickBot="1" x14ac:dyDescent="0.3">
      <c r="A48" s="97" t="s">
        <v>168</v>
      </c>
      <c r="B48" s="98" t="str">
        <f>'Custo por trabalhador'!D323</f>
        <v>Auxílio Saúde</v>
      </c>
      <c r="C48" s="316">
        <f>'Custo por trabalhador'!B315</f>
        <v>94.5</v>
      </c>
    </row>
    <row r="49" spans="1:3" ht="16.5" thickBot="1" x14ac:dyDescent="0.3">
      <c r="A49" s="97" t="s">
        <v>170</v>
      </c>
      <c r="B49" s="98" t="str">
        <f>'Custo por trabalhador'!E323</f>
        <v>Benefício Social Familiar</v>
      </c>
      <c r="C49" s="316">
        <f>'Custo por trabalhador'!C315</f>
        <v>31</v>
      </c>
    </row>
    <row r="50" spans="1:3" ht="16.5" thickBot="1" x14ac:dyDescent="0.3">
      <c r="A50" s="318" t="s">
        <v>171</v>
      </c>
      <c r="B50" s="98" t="str">
        <f>'Custo por trabalhador'!F323</f>
        <v>Fundo de Formação Profissional</v>
      </c>
      <c r="C50" s="316">
        <f>'Custo por trabalhador'!D316</f>
        <v>31</v>
      </c>
    </row>
    <row r="51" spans="1:3" ht="16.5" thickBot="1" x14ac:dyDescent="0.3">
      <c r="A51" s="158" t="s">
        <v>14</v>
      </c>
      <c r="B51" s="159"/>
      <c r="C51" s="316">
        <f>SUM(C46:C50)</f>
        <v>967.67</v>
      </c>
    </row>
    <row r="54" spans="1:3" x14ac:dyDescent="0.25">
      <c r="A54" s="161" t="s">
        <v>198</v>
      </c>
      <c r="B54" s="161"/>
      <c r="C54" s="161"/>
    </row>
    <row r="55" spans="1:3" ht="16.5" thickBot="1" x14ac:dyDescent="0.3"/>
    <row r="56" spans="1:3" ht="16.5" thickBot="1" x14ac:dyDescent="0.3">
      <c r="A56" s="95">
        <v>2</v>
      </c>
      <c r="B56" s="121" t="s">
        <v>199</v>
      </c>
      <c r="C56" s="121" t="s">
        <v>163</v>
      </c>
    </row>
    <row r="57" spans="1:3" ht="16.5" thickBot="1" x14ac:dyDescent="0.3">
      <c r="A57" s="97" t="s">
        <v>178</v>
      </c>
      <c r="B57" s="98" t="s">
        <v>179</v>
      </c>
      <c r="C57" s="316">
        <f>C26</f>
        <v>444.34444444444438</v>
      </c>
    </row>
    <row r="58" spans="1:3" ht="16.5" thickBot="1" x14ac:dyDescent="0.3">
      <c r="A58" s="97" t="s">
        <v>183</v>
      </c>
      <c r="B58" s="98" t="s">
        <v>184</v>
      </c>
      <c r="C58" s="316">
        <f>D40</f>
        <v>1004.4723555555556</v>
      </c>
    </row>
    <row r="59" spans="1:3" ht="16.5" thickBot="1" x14ac:dyDescent="0.3">
      <c r="A59" s="97" t="s">
        <v>194</v>
      </c>
      <c r="B59" s="98" t="s">
        <v>195</v>
      </c>
      <c r="C59" s="316">
        <f>C51</f>
        <v>967.67</v>
      </c>
    </row>
    <row r="60" spans="1:3" ht="16.5" thickBot="1" x14ac:dyDescent="0.3">
      <c r="A60" s="158" t="s">
        <v>14</v>
      </c>
      <c r="B60" s="159"/>
      <c r="C60" s="316">
        <f>SUM(C57:C59)</f>
        <v>2416.4868000000001</v>
      </c>
    </row>
    <row r="61" spans="1:3" x14ac:dyDescent="0.25">
      <c r="A61" s="13"/>
    </row>
    <row r="63" spans="1:3" x14ac:dyDescent="0.25">
      <c r="A63" s="160" t="s">
        <v>200</v>
      </c>
      <c r="B63" s="160"/>
      <c r="C63" s="160"/>
    </row>
    <row r="64" spans="1:3" ht="16.5" thickBot="1" x14ac:dyDescent="0.3"/>
    <row r="65" spans="1:3" ht="16.5" thickBot="1" x14ac:dyDescent="0.3">
      <c r="A65" s="95">
        <v>3</v>
      </c>
      <c r="B65" s="121" t="s">
        <v>201</v>
      </c>
      <c r="C65" s="121" t="s">
        <v>163</v>
      </c>
    </row>
    <row r="66" spans="1:3" ht="16.5" thickBot="1" x14ac:dyDescent="0.3">
      <c r="A66" s="97" t="s">
        <v>164</v>
      </c>
      <c r="B66" s="101" t="s">
        <v>321</v>
      </c>
      <c r="C66" s="316">
        <f>'Custo por trabalhador'!D397</f>
        <v>122.31234101650001</v>
      </c>
    </row>
    <row r="67" spans="1:3" x14ac:dyDescent="0.25">
      <c r="A67" s="320" t="s">
        <v>166</v>
      </c>
      <c r="B67" s="321" t="s">
        <v>322</v>
      </c>
      <c r="C67" s="322">
        <f>'Custo por trabalhador'!D439</f>
        <v>173.16816548105555</v>
      </c>
    </row>
    <row r="68" spans="1:3" x14ac:dyDescent="0.25">
      <c r="A68" s="168" t="s">
        <v>168</v>
      </c>
      <c r="B68" s="325" t="s">
        <v>320</v>
      </c>
      <c r="C68" s="315">
        <f>'Custo por trabalhador'!D468</f>
        <v>-4.4434444444444443</v>
      </c>
    </row>
    <row r="69" spans="1:3" ht="16.5" thickBot="1" x14ac:dyDescent="0.3">
      <c r="A69" s="323" t="s">
        <v>14</v>
      </c>
      <c r="B69" s="324"/>
      <c r="C69" s="316">
        <f>SUM(C66:C68)</f>
        <v>291.03706205311113</v>
      </c>
    </row>
    <row r="72" spans="1:3" x14ac:dyDescent="0.25">
      <c r="A72" s="160" t="s">
        <v>202</v>
      </c>
      <c r="B72" s="160"/>
      <c r="C72" s="160"/>
    </row>
    <row r="75" spans="1:3" x14ac:dyDescent="0.25">
      <c r="A75" s="161" t="s">
        <v>203</v>
      </c>
      <c r="B75" s="161"/>
      <c r="C75" s="161"/>
    </row>
    <row r="76" spans="1:3" ht="16.5" thickBot="1" x14ac:dyDescent="0.3">
      <c r="A76" s="94"/>
    </row>
    <row r="77" spans="1:3" ht="16.5" thickBot="1" x14ac:dyDescent="0.3">
      <c r="A77" s="95" t="s">
        <v>204</v>
      </c>
      <c r="B77" s="121" t="s">
        <v>205</v>
      </c>
      <c r="C77" s="121" t="s">
        <v>163</v>
      </c>
    </row>
    <row r="78" spans="1:3" ht="16.5" thickBot="1" x14ac:dyDescent="0.3">
      <c r="A78" s="97" t="s">
        <v>164</v>
      </c>
      <c r="B78" s="98" t="s">
        <v>18</v>
      </c>
      <c r="C78" s="316">
        <f>'Custo por trabalhador'!E497*'Custo por trabalhador'!D536/12</f>
        <v>208.0301609188796</v>
      </c>
    </row>
    <row r="79" spans="1:3" ht="16.5" thickBot="1" x14ac:dyDescent="0.3">
      <c r="A79" s="97" t="s">
        <v>166</v>
      </c>
      <c r="B79" s="98" t="s">
        <v>205</v>
      </c>
      <c r="C79" s="316">
        <f>'Custo por trabalhador'!D536*'Custo por trabalhador'!E498/12</f>
        <v>13.868677394591975</v>
      </c>
    </row>
    <row r="80" spans="1:3" ht="16.5" thickBot="1" x14ac:dyDescent="0.3">
      <c r="A80" s="97" t="s">
        <v>168</v>
      </c>
      <c r="B80" s="98" t="s">
        <v>206</v>
      </c>
      <c r="C80" s="316">
        <f>'Custo por trabalhador'!E506*'Custo por trabalhador'!D536/12</f>
        <v>1.9832208674266525</v>
      </c>
    </row>
    <row r="81" spans="1:3" ht="16.5" thickBot="1" x14ac:dyDescent="0.3">
      <c r="A81" s="97" t="s">
        <v>170</v>
      </c>
      <c r="B81" s="98" t="s">
        <v>207</v>
      </c>
      <c r="C81" s="316">
        <f>'Custo por trabalhador'!D536/'Custo por trabalhador'!E499/12</f>
        <v>20.05593260244682</v>
      </c>
    </row>
    <row r="82" spans="1:3" ht="16.5" thickBot="1" x14ac:dyDescent="0.3">
      <c r="A82" s="97" t="s">
        <v>171</v>
      </c>
      <c r="B82" s="98" t="s">
        <v>208</v>
      </c>
      <c r="C82" s="316">
        <f>'Custo por trabalhador'!D536*'Custo por trabalhador'!E507/12</f>
        <v>24.589165020611571</v>
      </c>
    </row>
    <row r="83" spans="1:3" ht="16.5" thickBot="1" x14ac:dyDescent="0.3">
      <c r="A83" s="97" t="s">
        <v>173</v>
      </c>
      <c r="B83" s="98" t="s">
        <v>175</v>
      </c>
      <c r="C83" s="316">
        <f>'Custo por trabalhador'!E546-C78-C79-C80-C81-C82</f>
        <v>22.863452234993392</v>
      </c>
    </row>
    <row r="84" spans="1:3" ht="16.5" thickBot="1" x14ac:dyDescent="0.3">
      <c r="A84" s="158" t="s">
        <v>192</v>
      </c>
      <c r="B84" s="159"/>
      <c r="C84" s="316">
        <f>SUM(C78:C83)</f>
        <v>291.39060903895006</v>
      </c>
    </row>
    <row r="87" spans="1:3" x14ac:dyDescent="0.25">
      <c r="A87" s="161" t="s">
        <v>209</v>
      </c>
      <c r="B87" s="161"/>
      <c r="C87" s="161"/>
    </row>
    <row r="88" spans="1:3" ht="16.5" thickBot="1" x14ac:dyDescent="0.3">
      <c r="A88" s="94"/>
    </row>
    <row r="89" spans="1:3" ht="16.5" thickBot="1" x14ac:dyDescent="0.3">
      <c r="A89" s="95" t="s">
        <v>210</v>
      </c>
      <c r="B89" s="121" t="s">
        <v>211</v>
      </c>
      <c r="C89" s="121" t="s">
        <v>163</v>
      </c>
    </row>
    <row r="90" spans="1:3" ht="16.5" thickBot="1" x14ac:dyDescent="0.3">
      <c r="A90" s="97" t="s">
        <v>164</v>
      </c>
      <c r="B90" s="98" t="s">
        <v>234</v>
      </c>
      <c r="C90" s="316">
        <f>'Custo por trabalhador'!D574</f>
        <v>0</v>
      </c>
    </row>
    <row r="91" spans="1:3" ht="16.5" thickBot="1" x14ac:dyDescent="0.3">
      <c r="A91" s="158" t="s">
        <v>14</v>
      </c>
      <c r="B91" s="159"/>
      <c r="C91" s="316">
        <f>SUM(C90)</f>
        <v>0</v>
      </c>
    </row>
    <row r="94" spans="1:3" x14ac:dyDescent="0.25">
      <c r="A94" s="161" t="s">
        <v>212</v>
      </c>
      <c r="B94" s="161"/>
      <c r="C94" s="161"/>
    </row>
    <row r="95" spans="1:3" ht="16.5" thickBot="1" x14ac:dyDescent="0.3">
      <c r="A95" s="94"/>
    </row>
    <row r="96" spans="1:3" ht="16.5" thickBot="1" x14ac:dyDescent="0.3">
      <c r="A96" s="95">
        <v>4</v>
      </c>
      <c r="B96" s="121" t="s">
        <v>213</v>
      </c>
      <c r="C96" s="121" t="s">
        <v>163</v>
      </c>
    </row>
    <row r="97" spans="1:3" ht="16.5" thickBot="1" x14ac:dyDescent="0.3">
      <c r="A97" s="97" t="s">
        <v>204</v>
      </c>
      <c r="B97" s="98" t="s">
        <v>205</v>
      </c>
      <c r="C97" s="316">
        <f>C84</f>
        <v>291.39060903895006</v>
      </c>
    </row>
    <row r="98" spans="1:3" ht="16.5" thickBot="1" x14ac:dyDescent="0.3">
      <c r="A98" s="97" t="s">
        <v>210</v>
      </c>
      <c r="B98" s="98" t="s">
        <v>211</v>
      </c>
      <c r="C98" s="316">
        <f>C91</f>
        <v>0</v>
      </c>
    </row>
    <row r="99" spans="1:3" ht="16.5" thickBot="1" x14ac:dyDescent="0.3">
      <c r="A99" s="158" t="s">
        <v>14</v>
      </c>
      <c r="B99" s="159"/>
      <c r="C99" s="316">
        <f>SUM(C97:C98)</f>
        <v>291.39060903895006</v>
      </c>
    </row>
    <row r="102" spans="1:3" x14ac:dyDescent="0.25">
      <c r="A102" s="160" t="s">
        <v>214</v>
      </c>
      <c r="B102" s="160"/>
      <c r="C102" s="160"/>
    </row>
    <row r="103" spans="1:3" ht="16.5" thickBot="1" x14ac:dyDescent="0.3"/>
    <row r="104" spans="1:3" ht="16.5" thickBot="1" x14ac:dyDescent="0.3">
      <c r="A104" s="95">
        <v>5</v>
      </c>
      <c r="B104" s="102" t="s">
        <v>124</v>
      </c>
      <c r="C104" s="121" t="s">
        <v>163</v>
      </c>
    </row>
    <row r="105" spans="1:3" ht="16.5" thickBot="1" x14ac:dyDescent="0.3">
      <c r="A105" s="97" t="s">
        <v>164</v>
      </c>
      <c r="B105" s="98" t="s">
        <v>215</v>
      </c>
      <c r="C105" s="316">
        <f>'Custo por trabalhador'!C615</f>
        <v>19.797500000000003</v>
      </c>
    </row>
    <row r="106" spans="1:3" ht="16.5" thickBot="1" x14ac:dyDescent="0.3">
      <c r="A106" s="97" t="s">
        <v>166</v>
      </c>
      <c r="B106" s="98" t="s">
        <v>216</v>
      </c>
      <c r="C106" s="316">
        <v>0</v>
      </c>
    </row>
    <row r="107" spans="1:3" ht="16.5" thickBot="1" x14ac:dyDescent="0.3">
      <c r="A107" s="97" t="s">
        <v>168</v>
      </c>
      <c r="B107" s="326" t="s">
        <v>326</v>
      </c>
      <c r="C107" s="316">
        <f>'Custo por trabalhador'!D638</f>
        <v>12.176499999999999</v>
      </c>
    </row>
    <row r="108" spans="1:3" ht="16.5" thickBot="1" x14ac:dyDescent="0.3">
      <c r="A108" s="97" t="s">
        <v>170</v>
      </c>
      <c r="B108" s="98" t="s">
        <v>175</v>
      </c>
      <c r="C108" s="317">
        <v>0</v>
      </c>
    </row>
    <row r="109" spans="1:3" ht="16.5" thickBot="1" x14ac:dyDescent="0.3">
      <c r="A109" s="158" t="s">
        <v>192</v>
      </c>
      <c r="B109" s="159"/>
      <c r="C109" s="316">
        <f>SUM(C105:C108)</f>
        <v>31.974000000000004</v>
      </c>
    </row>
    <row r="112" spans="1:3" x14ac:dyDescent="0.25">
      <c r="A112" s="160" t="s">
        <v>217</v>
      </c>
      <c r="B112" s="160"/>
      <c r="C112" s="160"/>
    </row>
    <row r="113" spans="1:5" ht="16.5" thickBot="1" x14ac:dyDescent="0.3"/>
    <row r="114" spans="1:5" ht="16.5" thickBot="1" x14ac:dyDescent="0.3">
      <c r="A114" s="95">
        <v>6</v>
      </c>
      <c r="B114" s="102" t="s">
        <v>125</v>
      </c>
      <c r="C114" s="121" t="s">
        <v>185</v>
      </c>
      <c r="D114" s="121" t="s">
        <v>163</v>
      </c>
    </row>
    <row r="115" spans="1:5" ht="16.5" thickBot="1" x14ac:dyDescent="0.3">
      <c r="A115" s="97" t="s">
        <v>164</v>
      </c>
      <c r="B115" s="98" t="s">
        <v>148</v>
      </c>
      <c r="C115" s="99">
        <f>'Custo por trabalhador'!B661</f>
        <v>0.03</v>
      </c>
      <c r="D115" s="316">
        <f>'Custo por trabalhador'!D671*'E COPACOZINHA 12X36 INTERMEDIAR'!C115</f>
        <v>28.155393669939404</v>
      </c>
    </row>
    <row r="116" spans="1:5" ht="16.5" thickBot="1" x14ac:dyDescent="0.3">
      <c r="A116" s="97" t="s">
        <v>166</v>
      </c>
      <c r="B116" s="98" t="s">
        <v>150</v>
      </c>
      <c r="C116" s="99">
        <f>'Custo por trabalhador'!B663</f>
        <v>6.7900000000000002E-2</v>
      </c>
      <c r="D116" s="316">
        <f>'Custo por trabalhador'!F697*'Custo por trabalhador'!B663</f>
        <v>425.10875800832315</v>
      </c>
    </row>
    <row r="117" spans="1:5" ht="16.5" thickBot="1" x14ac:dyDescent="0.3">
      <c r="A117" s="97" t="s">
        <v>168</v>
      </c>
      <c r="B117" s="98" t="s">
        <v>149</v>
      </c>
      <c r="C117" s="99">
        <f>'Custo por trabalhador'!B662</f>
        <v>5.6500000000000002E-2</v>
      </c>
      <c r="D117" s="316">
        <f>'Custo por trabalhador'!F697*'E COPACOZINHA 12X36 INTERMEDIAR'!C117</f>
        <v>353.7355644693705</v>
      </c>
    </row>
    <row r="118" spans="1:5" ht="16.5" thickBot="1" x14ac:dyDescent="0.3">
      <c r="A118" s="97"/>
      <c r="B118" s="98" t="s">
        <v>324</v>
      </c>
      <c r="C118" s="331">
        <v>6.4999999999999997E-3</v>
      </c>
      <c r="D118" s="329">
        <f>'Custo por trabalhador'!F697*0.65%</f>
        <v>40.695241930104572</v>
      </c>
    </row>
    <row r="119" spans="1:5" ht="16.5" thickBot="1" x14ac:dyDescent="0.3">
      <c r="A119" s="97"/>
      <c r="B119" s="98" t="s">
        <v>325</v>
      </c>
      <c r="C119" s="327">
        <v>0.03</v>
      </c>
      <c r="D119" s="329">
        <f>'Custo por trabalhador'!F697*3%</f>
        <v>187.82419352355956</v>
      </c>
    </row>
    <row r="120" spans="1:5" ht="16.5" thickBot="1" x14ac:dyDescent="0.3">
      <c r="A120" s="97"/>
      <c r="B120" s="98" t="s">
        <v>323</v>
      </c>
      <c r="C120" s="327">
        <v>0.02</v>
      </c>
      <c r="D120" s="329">
        <f>'Custo por trabalhador'!F697*2%</f>
        <v>125.21612901570637</v>
      </c>
      <c r="E120" s="328"/>
    </row>
    <row r="121" spans="1:5" ht="16.5" thickBot="1" x14ac:dyDescent="0.3">
      <c r="A121" s="158" t="s">
        <v>192</v>
      </c>
      <c r="B121" s="159"/>
      <c r="C121" s="327"/>
      <c r="D121" s="316">
        <f>SUM(D115:D117)</f>
        <v>806.99971614763308</v>
      </c>
    </row>
    <row r="124" spans="1:5" x14ac:dyDescent="0.25">
      <c r="A124" s="160" t="s">
        <v>218</v>
      </c>
      <c r="B124" s="160"/>
      <c r="C124" s="160"/>
    </row>
    <row r="125" spans="1:5" ht="16.5" thickBot="1" x14ac:dyDescent="0.3"/>
    <row r="126" spans="1:5" ht="16.5" thickBot="1" x14ac:dyDescent="0.3">
      <c r="A126" s="95"/>
      <c r="B126" s="121" t="s">
        <v>219</v>
      </c>
      <c r="C126" s="121" t="s">
        <v>163</v>
      </c>
    </row>
    <row r="127" spans="1:5" ht="16.5" thickBot="1" x14ac:dyDescent="0.3">
      <c r="A127" s="104" t="s">
        <v>164</v>
      </c>
      <c r="B127" s="98" t="s">
        <v>161</v>
      </c>
      <c r="C127" s="330">
        <f>C16</f>
        <v>2285.1999999999998</v>
      </c>
    </row>
    <row r="128" spans="1:5" ht="16.5" thickBot="1" x14ac:dyDescent="0.3">
      <c r="A128" s="104" t="s">
        <v>166</v>
      </c>
      <c r="B128" s="98" t="s">
        <v>176</v>
      </c>
      <c r="C128" s="330">
        <f>C60</f>
        <v>2416.4868000000001</v>
      </c>
    </row>
    <row r="129" spans="1:3" ht="16.5" thickBot="1" x14ac:dyDescent="0.3">
      <c r="A129" s="104" t="s">
        <v>168</v>
      </c>
      <c r="B129" s="98" t="s">
        <v>200</v>
      </c>
      <c r="C129" s="330">
        <f>C69</f>
        <v>291.03706205311113</v>
      </c>
    </row>
    <row r="130" spans="1:3" ht="16.5" thickBot="1" x14ac:dyDescent="0.3">
      <c r="A130" s="104" t="s">
        <v>170</v>
      </c>
      <c r="B130" s="98" t="s">
        <v>202</v>
      </c>
      <c r="C130" s="330">
        <f>C99</f>
        <v>291.39060903895006</v>
      </c>
    </row>
    <row r="131" spans="1:3" ht="16.5" thickBot="1" x14ac:dyDescent="0.3">
      <c r="A131" s="104" t="s">
        <v>171</v>
      </c>
      <c r="B131" s="98" t="s">
        <v>214</v>
      </c>
      <c r="C131" s="330">
        <f>C109</f>
        <v>31.974000000000004</v>
      </c>
    </row>
    <row r="132" spans="1:3" ht="16.5" thickBot="1" x14ac:dyDescent="0.3">
      <c r="A132" s="158" t="s">
        <v>220</v>
      </c>
      <c r="B132" s="159"/>
      <c r="C132" s="330">
        <f>SUM(C127:C131)</f>
        <v>5316.0884710920609</v>
      </c>
    </row>
    <row r="133" spans="1:3" ht="16.5" thickBot="1" x14ac:dyDescent="0.3">
      <c r="A133" s="104" t="s">
        <v>173</v>
      </c>
      <c r="B133" s="98" t="s">
        <v>221</v>
      </c>
      <c r="C133" s="330">
        <f>D121</f>
        <v>806.99971614763308</v>
      </c>
    </row>
    <row r="134" spans="1:3" ht="16.5" thickBot="1" x14ac:dyDescent="0.3">
      <c r="A134" s="158" t="s">
        <v>222</v>
      </c>
      <c r="B134" s="159"/>
      <c r="C134" s="330">
        <f>C132+C133</f>
        <v>6123.088187239694</v>
      </c>
    </row>
  </sheetData>
  <mergeCells count="30">
    <mergeCell ref="A109:B109"/>
    <mergeCell ref="A112:C112"/>
    <mergeCell ref="A121:B121"/>
    <mergeCell ref="A124:C124"/>
    <mergeCell ref="A132:B132"/>
    <mergeCell ref="A134:B134"/>
    <mergeCell ref="A84:B84"/>
    <mergeCell ref="A87:C87"/>
    <mergeCell ref="A91:B91"/>
    <mergeCell ref="A94:C94"/>
    <mergeCell ref="A99:B99"/>
    <mergeCell ref="A102:C102"/>
    <mergeCell ref="A54:C54"/>
    <mergeCell ref="A60:B60"/>
    <mergeCell ref="A63:C63"/>
    <mergeCell ref="A69:B69"/>
    <mergeCell ref="A72:C72"/>
    <mergeCell ref="A75:C75"/>
    <mergeCell ref="A21:C21"/>
    <mergeCell ref="A26:B26"/>
    <mergeCell ref="A29:D29"/>
    <mergeCell ref="A40:B40"/>
    <mergeCell ref="A43:C43"/>
    <mergeCell ref="A51:B51"/>
    <mergeCell ref="A1:D1"/>
    <mergeCell ref="A2:D2"/>
    <mergeCell ref="A3:D3"/>
    <mergeCell ref="A6:C6"/>
    <mergeCell ref="A16:B16"/>
    <mergeCell ref="A19:C19"/>
  </mergeCells>
  <pageMargins left="0.511811024" right="0.511811024" top="0.78740157499999996" bottom="0.78740157499999996" header="0.31496062000000002" footer="0.31496062000000002"/>
  <pageSetup paperSize="9" scale="81"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
  <sheetViews>
    <sheetView showGridLines="0" zoomScale="115" zoomScaleNormal="115" workbookViewId="0">
      <selection activeCell="D121" sqref="A1:D121"/>
    </sheetView>
  </sheetViews>
  <sheetFormatPr defaultRowHeight="15.75" x14ac:dyDescent="0.25"/>
  <cols>
    <col min="1" max="1" width="9.140625" style="103"/>
    <col min="2" max="2" width="72.140625" style="103" customWidth="1"/>
    <col min="3" max="3" width="18" style="103" customWidth="1"/>
    <col min="4" max="4" width="14.28515625" style="103" customWidth="1"/>
    <col min="5" max="5" width="12.7109375" style="103" customWidth="1"/>
    <col min="6" max="6" width="12" style="103" customWidth="1"/>
    <col min="7" max="7" width="15.140625" style="103" customWidth="1"/>
    <col min="8" max="16384" width="9.140625" style="103"/>
  </cols>
  <sheetData>
    <row r="1" spans="1:4" ht="23.25" x14ac:dyDescent="0.35">
      <c r="A1" s="139" t="s">
        <v>223</v>
      </c>
      <c r="B1" s="139"/>
      <c r="C1" s="139"/>
      <c r="D1" s="139"/>
    </row>
    <row r="2" spans="1:4" ht="23.25" x14ac:dyDescent="0.35">
      <c r="A2" s="139" t="s">
        <v>225</v>
      </c>
      <c r="B2" s="139"/>
      <c r="C2" s="139"/>
      <c r="D2" s="139"/>
    </row>
    <row r="3" spans="1:4" x14ac:dyDescent="0.25">
      <c r="A3" s="163" t="s">
        <v>233</v>
      </c>
      <c r="B3" s="163"/>
      <c r="C3" s="163"/>
      <c r="D3" s="163"/>
    </row>
    <row r="6" spans="1:4" x14ac:dyDescent="0.25">
      <c r="A6" s="162" t="s">
        <v>161</v>
      </c>
      <c r="B6" s="162"/>
      <c r="C6" s="162"/>
    </row>
    <row r="7" spans="1:4" ht="16.5" thickBot="1" x14ac:dyDescent="0.3"/>
    <row r="8" spans="1:4" ht="16.5" thickBot="1" x14ac:dyDescent="0.3">
      <c r="A8" s="95">
        <v>1</v>
      </c>
      <c r="B8" s="121" t="s">
        <v>162</v>
      </c>
      <c r="C8" s="121" t="s">
        <v>163</v>
      </c>
    </row>
    <row r="9" spans="1:4" ht="16.5" thickBot="1" x14ac:dyDescent="0.3">
      <c r="A9" s="97" t="s">
        <v>164</v>
      </c>
      <c r="B9" s="98" t="s">
        <v>165</v>
      </c>
      <c r="C9" s="317">
        <f>'Custo por trabalhador'!B17</f>
        <v>1961</v>
      </c>
    </row>
    <row r="10" spans="1:4" ht="16.5" thickBot="1" x14ac:dyDescent="0.3">
      <c r="A10" s="97" t="s">
        <v>166</v>
      </c>
      <c r="B10" s="98" t="s">
        <v>167</v>
      </c>
      <c r="C10" s="317">
        <v>0</v>
      </c>
    </row>
    <row r="11" spans="1:4" ht="16.5" thickBot="1" x14ac:dyDescent="0.3">
      <c r="A11" s="97" t="s">
        <v>168</v>
      </c>
      <c r="B11" s="98" t="s">
        <v>169</v>
      </c>
      <c r="C11" s="317">
        <f>'Custo por trabalhador'!D49</f>
        <v>324.20000000000005</v>
      </c>
    </row>
    <row r="12" spans="1:4" ht="16.5" thickBot="1" x14ac:dyDescent="0.3">
      <c r="A12" s="97" t="s">
        <v>170</v>
      </c>
      <c r="B12" s="98" t="s">
        <v>11</v>
      </c>
      <c r="C12" s="317">
        <f>'Custo por trabalhador'!E66</f>
        <v>114.25999999999999</v>
      </c>
    </row>
    <row r="13" spans="1:4" ht="16.5" thickBot="1" x14ac:dyDescent="0.3">
      <c r="A13" s="97" t="s">
        <v>171</v>
      </c>
      <c r="B13" s="98" t="s">
        <v>172</v>
      </c>
      <c r="C13" s="317">
        <f>'Custo por trabalhador'!E80</f>
        <v>97.937142857142803</v>
      </c>
    </row>
    <row r="14" spans="1:4" ht="16.5" thickBot="1" x14ac:dyDescent="0.3">
      <c r="A14" s="97"/>
      <c r="B14" s="98"/>
      <c r="C14" s="317"/>
    </row>
    <row r="15" spans="1:4" ht="16.5" thickBot="1" x14ac:dyDescent="0.3">
      <c r="A15" s="97" t="s">
        <v>174</v>
      </c>
      <c r="B15" s="98" t="s">
        <v>175</v>
      </c>
      <c r="C15" s="317">
        <f>'Custo por trabalhador'!D30</f>
        <v>0</v>
      </c>
    </row>
    <row r="16" spans="1:4" ht="16.5" thickBot="1" x14ac:dyDescent="0.3">
      <c r="A16" s="158" t="s">
        <v>14</v>
      </c>
      <c r="B16" s="159"/>
      <c r="C16" s="317">
        <f>SUM(C9:C15)</f>
        <v>2497.3971428571426</v>
      </c>
    </row>
    <row r="19" spans="1:4" x14ac:dyDescent="0.25">
      <c r="A19" s="160" t="s">
        <v>176</v>
      </c>
      <c r="B19" s="160"/>
      <c r="C19" s="160"/>
    </row>
    <row r="20" spans="1:4" x14ac:dyDescent="0.25">
      <c r="A20" s="94"/>
    </row>
    <row r="21" spans="1:4" x14ac:dyDescent="0.25">
      <c r="A21" s="161" t="s">
        <v>177</v>
      </c>
      <c r="B21" s="161"/>
      <c r="C21" s="161"/>
    </row>
    <row r="22" spans="1:4" ht="16.5" thickBot="1" x14ac:dyDescent="0.3"/>
    <row r="23" spans="1:4" ht="16.5" thickBot="1" x14ac:dyDescent="0.3">
      <c r="A23" s="95" t="s">
        <v>178</v>
      </c>
      <c r="B23" s="121" t="s">
        <v>179</v>
      </c>
      <c r="C23" s="121" t="s">
        <v>163</v>
      </c>
    </row>
    <row r="24" spans="1:4" ht="16.5" thickBot="1" x14ac:dyDescent="0.3">
      <c r="A24" s="97" t="s">
        <v>164</v>
      </c>
      <c r="B24" s="98" t="s">
        <v>180</v>
      </c>
      <c r="C24" s="316">
        <f>'Custo por trabalhador'!D126</f>
        <v>208.11642857142854</v>
      </c>
    </row>
    <row r="25" spans="1:4" ht="16.5" thickBot="1" x14ac:dyDescent="0.3">
      <c r="A25" s="97" t="s">
        <v>166</v>
      </c>
      <c r="B25" s="98" t="s">
        <v>181</v>
      </c>
      <c r="C25" s="316">
        <f>'Custo por trabalhador'!D139+'Custo por trabalhador'!E152</f>
        <v>277.48857142857139</v>
      </c>
    </row>
    <row r="26" spans="1:4" ht="16.5" thickBot="1" x14ac:dyDescent="0.3">
      <c r="A26" s="158" t="s">
        <v>14</v>
      </c>
      <c r="B26" s="159"/>
      <c r="C26" s="316">
        <f>SUM(C24:C25)</f>
        <v>485.6049999999999</v>
      </c>
    </row>
    <row r="29" spans="1:4" ht="32.25" customHeight="1" x14ac:dyDescent="0.25">
      <c r="A29" s="164" t="s">
        <v>182</v>
      </c>
      <c r="B29" s="164"/>
      <c r="C29" s="164"/>
      <c r="D29" s="164"/>
    </row>
    <row r="30" spans="1:4" ht="16.5" thickBot="1" x14ac:dyDescent="0.3"/>
    <row r="31" spans="1:4" ht="16.5" thickBot="1" x14ac:dyDescent="0.3">
      <c r="A31" s="95" t="s">
        <v>183</v>
      </c>
      <c r="B31" s="121" t="s">
        <v>184</v>
      </c>
      <c r="C31" s="121" t="s">
        <v>185</v>
      </c>
      <c r="D31" s="121" t="s">
        <v>163</v>
      </c>
    </row>
    <row r="32" spans="1:4" ht="16.5" thickBot="1" x14ac:dyDescent="0.3">
      <c r="A32" s="97" t="s">
        <v>164</v>
      </c>
      <c r="B32" s="98" t="s">
        <v>186</v>
      </c>
      <c r="C32" s="99">
        <v>0.2</v>
      </c>
      <c r="D32" s="316">
        <f>(C26+C16)*C32</f>
        <v>596.60042857142855</v>
      </c>
    </row>
    <row r="33" spans="1:4" ht="16.5" thickBot="1" x14ac:dyDescent="0.3">
      <c r="A33" s="97" t="s">
        <v>166</v>
      </c>
      <c r="B33" s="98" t="s">
        <v>187</v>
      </c>
      <c r="C33" s="99">
        <v>2.5000000000000001E-2</v>
      </c>
      <c r="D33" s="316">
        <f>($C$26+$C$16)*C33</f>
        <v>74.575053571428569</v>
      </c>
    </row>
    <row r="34" spans="1:4" ht="16.5" thickBot="1" x14ac:dyDescent="0.3">
      <c r="A34" s="97" t="s">
        <v>168</v>
      </c>
      <c r="B34" s="98" t="s">
        <v>188</v>
      </c>
      <c r="C34" s="319">
        <f>'Custo por trabalhador'!B178</f>
        <v>0.03</v>
      </c>
      <c r="D34" s="316">
        <f>($C$26+$C$16)*C34</f>
        <v>89.490064285714283</v>
      </c>
    </row>
    <row r="35" spans="1:4" ht="16.5" thickBot="1" x14ac:dyDescent="0.3">
      <c r="A35" s="97" t="s">
        <v>170</v>
      </c>
      <c r="B35" s="98" t="s">
        <v>189</v>
      </c>
      <c r="C35" s="99">
        <v>1.4999999999999999E-2</v>
      </c>
      <c r="D35" s="316">
        <f>($C$26+$C$16)*C35</f>
        <v>44.745032142857141</v>
      </c>
    </row>
    <row r="36" spans="1:4" ht="16.5" thickBot="1" x14ac:dyDescent="0.3">
      <c r="A36" s="97" t="s">
        <v>171</v>
      </c>
      <c r="B36" s="98" t="s">
        <v>190</v>
      </c>
      <c r="C36" s="99">
        <v>0.01</v>
      </c>
      <c r="D36" s="316">
        <f>($C$26+$C$16)*C36</f>
        <v>29.830021428571428</v>
      </c>
    </row>
    <row r="37" spans="1:4" ht="16.5" thickBot="1" x14ac:dyDescent="0.3">
      <c r="A37" s="97" t="s">
        <v>173</v>
      </c>
      <c r="B37" s="98" t="s">
        <v>27</v>
      </c>
      <c r="C37" s="99">
        <v>6.0000000000000001E-3</v>
      </c>
      <c r="D37" s="316">
        <f>($C$26+$C$16)*C37</f>
        <v>17.898012857142856</v>
      </c>
    </row>
    <row r="38" spans="1:4" ht="16.5" thickBot="1" x14ac:dyDescent="0.3">
      <c r="A38" s="97" t="s">
        <v>174</v>
      </c>
      <c r="B38" s="98" t="s">
        <v>28</v>
      </c>
      <c r="C38" s="99">
        <v>2E-3</v>
      </c>
      <c r="D38" s="316">
        <f>($C$26+$C$16)*C38</f>
        <v>5.966004285714285</v>
      </c>
    </row>
    <row r="39" spans="1:4" ht="16.5" thickBot="1" x14ac:dyDescent="0.3">
      <c r="A39" s="97" t="s">
        <v>191</v>
      </c>
      <c r="B39" s="98" t="s">
        <v>29</v>
      </c>
      <c r="C39" s="99">
        <v>0.08</v>
      </c>
      <c r="D39" s="316">
        <f>($C$26+$C$16)*C39</f>
        <v>238.64017142857142</v>
      </c>
    </row>
    <row r="40" spans="1:4" ht="16.5" thickBot="1" x14ac:dyDescent="0.3">
      <c r="A40" s="158" t="s">
        <v>192</v>
      </c>
      <c r="B40" s="159"/>
      <c r="C40" s="99">
        <f>SUM(C32:C39)</f>
        <v>0.36800000000000005</v>
      </c>
      <c r="D40" s="316">
        <f>SUM(D32:D39)</f>
        <v>1097.7447885714284</v>
      </c>
    </row>
    <row r="43" spans="1:4" x14ac:dyDescent="0.25">
      <c r="A43" s="161" t="s">
        <v>193</v>
      </c>
      <c r="B43" s="161"/>
      <c r="C43" s="161"/>
    </row>
    <row r="44" spans="1:4" ht="16.5" thickBot="1" x14ac:dyDescent="0.3"/>
    <row r="45" spans="1:4" ht="16.5" thickBot="1" x14ac:dyDescent="0.3">
      <c r="A45" s="95" t="s">
        <v>194</v>
      </c>
      <c r="B45" s="121" t="s">
        <v>195</v>
      </c>
      <c r="C45" s="121" t="s">
        <v>163</v>
      </c>
    </row>
    <row r="46" spans="1:4" ht="16.5" thickBot="1" x14ac:dyDescent="0.3">
      <c r="A46" s="97" t="s">
        <v>164</v>
      </c>
      <c r="B46" s="98" t="s">
        <v>196</v>
      </c>
      <c r="C46" s="316">
        <f>'Custo por trabalhador'!D261</f>
        <v>91.17</v>
      </c>
    </row>
    <row r="47" spans="1:4" ht="16.5" thickBot="1" x14ac:dyDescent="0.3">
      <c r="A47" s="97" t="s">
        <v>166</v>
      </c>
      <c r="B47" s="98" t="s">
        <v>197</v>
      </c>
      <c r="C47" s="316">
        <f>'Custo por trabalhador'!D301</f>
        <v>720</v>
      </c>
    </row>
    <row r="48" spans="1:4" ht="16.5" thickBot="1" x14ac:dyDescent="0.3">
      <c r="A48" s="97" t="s">
        <v>168</v>
      </c>
      <c r="B48" s="98" t="str">
        <f>'Custo por trabalhador'!D323</f>
        <v>Auxílio Saúde</v>
      </c>
      <c r="C48" s="316">
        <f>'Custo por trabalhador'!B316</f>
        <v>94.5</v>
      </c>
    </row>
    <row r="49" spans="1:3" ht="16.5" thickBot="1" x14ac:dyDescent="0.3">
      <c r="A49" s="97" t="s">
        <v>170</v>
      </c>
      <c r="B49" s="98" t="str">
        <f>'Custo por trabalhador'!E323</f>
        <v>Benefício Social Familiar</v>
      </c>
      <c r="C49" s="316">
        <f>'Custo por trabalhador'!C316</f>
        <v>31</v>
      </c>
    </row>
    <row r="50" spans="1:3" ht="16.5" thickBot="1" x14ac:dyDescent="0.3">
      <c r="A50" s="318" t="s">
        <v>171</v>
      </c>
      <c r="B50" s="98" t="str">
        <f>'Custo por trabalhador'!F323</f>
        <v>Fundo de Formação Profissional</v>
      </c>
      <c r="C50" s="316">
        <f>'Custo por trabalhador'!D316</f>
        <v>31</v>
      </c>
    </row>
    <row r="51" spans="1:3" ht="16.5" thickBot="1" x14ac:dyDescent="0.3">
      <c r="A51" s="158" t="s">
        <v>14</v>
      </c>
      <c r="B51" s="159"/>
      <c r="C51" s="316">
        <f>SUM(C46:C50)</f>
        <v>967.67</v>
      </c>
    </row>
    <row r="54" spans="1:3" x14ac:dyDescent="0.25">
      <c r="A54" s="161" t="s">
        <v>198</v>
      </c>
      <c r="B54" s="161"/>
      <c r="C54" s="161"/>
    </row>
    <row r="55" spans="1:3" ht="16.5" thickBot="1" x14ac:dyDescent="0.3"/>
    <row r="56" spans="1:3" ht="16.5" thickBot="1" x14ac:dyDescent="0.3">
      <c r="A56" s="95">
        <v>2</v>
      </c>
      <c r="B56" s="121" t="s">
        <v>199</v>
      </c>
      <c r="C56" s="121" t="s">
        <v>163</v>
      </c>
    </row>
    <row r="57" spans="1:3" ht="16.5" thickBot="1" x14ac:dyDescent="0.3">
      <c r="A57" s="97" t="s">
        <v>178</v>
      </c>
      <c r="B57" s="98" t="s">
        <v>179</v>
      </c>
      <c r="C57" s="316">
        <f>C26</f>
        <v>485.6049999999999</v>
      </c>
    </row>
    <row r="58" spans="1:3" ht="16.5" thickBot="1" x14ac:dyDescent="0.3">
      <c r="A58" s="97" t="s">
        <v>183</v>
      </c>
      <c r="B58" s="98" t="s">
        <v>184</v>
      </c>
      <c r="C58" s="316">
        <f>D40</f>
        <v>1097.7447885714284</v>
      </c>
    </row>
    <row r="59" spans="1:3" ht="16.5" thickBot="1" x14ac:dyDescent="0.3">
      <c r="A59" s="97" t="s">
        <v>194</v>
      </c>
      <c r="B59" s="98" t="s">
        <v>195</v>
      </c>
      <c r="C59" s="316">
        <f>C51</f>
        <v>967.67</v>
      </c>
    </row>
    <row r="60" spans="1:3" ht="16.5" thickBot="1" x14ac:dyDescent="0.3">
      <c r="A60" s="158" t="s">
        <v>14</v>
      </c>
      <c r="B60" s="159"/>
      <c r="C60" s="316">
        <f>SUM(C57:C59)</f>
        <v>2551.0197885714283</v>
      </c>
    </row>
    <row r="61" spans="1:3" x14ac:dyDescent="0.25">
      <c r="A61" s="13"/>
    </row>
    <row r="63" spans="1:3" x14ac:dyDescent="0.25">
      <c r="A63" s="160" t="s">
        <v>200</v>
      </c>
      <c r="B63" s="160"/>
      <c r="C63" s="160"/>
    </row>
    <row r="64" spans="1:3" ht="16.5" thickBot="1" x14ac:dyDescent="0.3"/>
    <row r="65" spans="1:3" ht="16.5" thickBot="1" x14ac:dyDescent="0.3">
      <c r="A65" s="95">
        <v>3</v>
      </c>
      <c r="B65" s="121" t="s">
        <v>201</v>
      </c>
      <c r="C65" s="121" t="s">
        <v>163</v>
      </c>
    </row>
    <row r="66" spans="1:3" ht="16.5" thickBot="1" x14ac:dyDescent="0.3">
      <c r="A66" s="97" t="s">
        <v>164</v>
      </c>
      <c r="B66" s="101" t="s">
        <v>321</v>
      </c>
      <c r="C66" s="316">
        <f>'Custo por trabalhador'!D398</f>
        <v>131.45577426062147</v>
      </c>
    </row>
    <row r="67" spans="1:3" x14ac:dyDescent="0.25">
      <c r="A67" s="320" t="s">
        <v>166</v>
      </c>
      <c r="B67" s="321" t="s">
        <v>322</v>
      </c>
      <c r="C67" s="322">
        <f>'Custo por trabalhador'!D440</f>
        <v>186.54189388730242</v>
      </c>
    </row>
    <row r="68" spans="1:3" x14ac:dyDescent="0.25">
      <c r="A68" s="168" t="s">
        <v>168</v>
      </c>
      <c r="B68" s="325" t="s">
        <v>320</v>
      </c>
      <c r="C68" s="315">
        <f>'Custo por trabalhador'!D468</f>
        <v>-4.4434444444444443</v>
      </c>
    </row>
    <row r="69" spans="1:3" ht="16.5" thickBot="1" x14ac:dyDescent="0.3">
      <c r="A69" s="323" t="s">
        <v>14</v>
      </c>
      <c r="B69" s="324"/>
      <c r="C69" s="316">
        <f>SUM(C66:C68)</f>
        <v>313.55422370347947</v>
      </c>
    </row>
    <row r="72" spans="1:3" x14ac:dyDescent="0.25">
      <c r="A72" s="160" t="s">
        <v>202</v>
      </c>
      <c r="B72" s="160"/>
      <c r="C72" s="160"/>
    </row>
    <row r="75" spans="1:3" x14ac:dyDescent="0.25">
      <c r="A75" s="161" t="s">
        <v>203</v>
      </c>
      <c r="B75" s="161"/>
      <c r="C75" s="161"/>
    </row>
    <row r="76" spans="1:3" ht="16.5" thickBot="1" x14ac:dyDescent="0.3">
      <c r="A76" s="94"/>
    </row>
    <row r="77" spans="1:3" ht="16.5" thickBot="1" x14ac:dyDescent="0.3">
      <c r="A77" s="95" t="s">
        <v>204</v>
      </c>
      <c r="B77" s="121" t="s">
        <v>205</v>
      </c>
      <c r="C77" s="121" t="s">
        <v>163</v>
      </c>
    </row>
    <row r="78" spans="1:3" ht="16.5" thickBot="1" x14ac:dyDescent="0.3">
      <c r="A78" s="97" t="s">
        <v>164</v>
      </c>
      <c r="B78" s="98" t="s">
        <v>18</v>
      </c>
      <c r="C78" s="316">
        <f>'Custo por trabalhador'!E497*'Custo por trabalhador'!D537/12</f>
        <v>223.39827289902064</v>
      </c>
    </row>
    <row r="79" spans="1:3" ht="16.5" thickBot="1" x14ac:dyDescent="0.3">
      <c r="A79" s="97" t="s">
        <v>166</v>
      </c>
      <c r="B79" s="98" t="s">
        <v>205</v>
      </c>
      <c r="C79" s="316">
        <f>'Custo por trabalhador'!D537*'Custo por trabalhador'!E498/12</f>
        <v>14.893218193268043</v>
      </c>
    </row>
    <row r="80" spans="1:3" ht="16.5" thickBot="1" x14ac:dyDescent="0.3">
      <c r="A80" s="97" t="s">
        <v>168</v>
      </c>
      <c r="B80" s="98" t="s">
        <v>206</v>
      </c>
      <c r="C80" s="316">
        <f>'Custo por trabalhador'!E506*'Custo por trabalhador'!D537/12</f>
        <v>2.1297302016373303</v>
      </c>
    </row>
    <row r="81" spans="1:3" ht="16.5" thickBot="1" x14ac:dyDescent="0.3">
      <c r="A81" s="97" t="s">
        <v>170</v>
      </c>
      <c r="B81" s="98" t="s">
        <v>207</v>
      </c>
      <c r="C81" s="316">
        <f>'Custo por trabalhador'!D537/'Custo por trabalhador'!E499/12</f>
        <v>21.537553424827252</v>
      </c>
    </row>
    <row r="82" spans="1:3" ht="16.5" thickBot="1" x14ac:dyDescent="0.3">
      <c r="A82" s="97" t="s">
        <v>171</v>
      </c>
      <c r="B82" s="98" t="s">
        <v>208</v>
      </c>
      <c r="C82" s="316">
        <f>'Custo por trabalhador'!D537*'Custo por trabalhador'!E507/12</f>
        <v>26.405675856664242</v>
      </c>
    </row>
    <row r="83" spans="1:3" ht="16.5" thickBot="1" x14ac:dyDescent="0.3">
      <c r="A83" s="97" t="s">
        <v>173</v>
      </c>
      <c r="B83" s="98" t="s">
        <v>175</v>
      </c>
      <c r="C83" s="316">
        <f>'Custo por trabalhador'!E546-C78-C79-C80-C81-C82</f>
        <v>3.0261584635325001</v>
      </c>
    </row>
    <row r="84" spans="1:3" ht="16.5" thickBot="1" x14ac:dyDescent="0.3">
      <c r="A84" s="158" t="s">
        <v>192</v>
      </c>
      <c r="B84" s="159"/>
      <c r="C84" s="316">
        <f>SUM(C78:C83)</f>
        <v>291.39060903895</v>
      </c>
    </row>
    <row r="87" spans="1:3" x14ac:dyDescent="0.25">
      <c r="A87" s="161" t="s">
        <v>209</v>
      </c>
      <c r="B87" s="161"/>
      <c r="C87" s="161"/>
    </row>
    <row r="88" spans="1:3" ht="16.5" thickBot="1" x14ac:dyDescent="0.3">
      <c r="A88" s="94"/>
    </row>
    <row r="89" spans="1:3" ht="16.5" thickBot="1" x14ac:dyDescent="0.3">
      <c r="A89" s="95" t="s">
        <v>210</v>
      </c>
      <c r="B89" s="121" t="s">
        <v>211</v>
      </c>
      <c r="C89" s="121" t="s">
        <v>163</v>
      </c>
    </row>
    <row r="90" spans="1:3" ht="16.5" thickBot="1" x14ac:dyDescent="0.3">
      <c r="A90" s="97" t="s">
        <v>164</v>
      </c>
      <c r="B90" s="98" t="s">
        <v>234</v>
      </c>
      <c r="C90" s="316">
        <f>'Custo por trabalhador'!D574</f>
        <v>0</v>
      </c>
    </row>
    <row r="91" spans="1:3" ht="16.5" thickBot="1" x14ac:dyDescent="0.3">
      <c r="A91" s="158" t="s">
        <v>14</v>
      </c>
      <c r="B91" s="159"/>
      <c r="C91" s="316">
        <f>SUM(C90)</f>
        <v>0</v>
      </c>
    </row>
    <row r="94" spans="1:3" x14ac:dyDescent="0.25">
      <c r="A94" s="161" t="s">
        <v>212</v>
      </c>
      <c r="B94" s="161"/>
      <c r="C94" s="161"/>
    </row>
    <row r="95" spans="1:3" ht="16.5" thickBot="1" x14ac:dyDescent="0.3">
      <c r="A95" s="94"/>
    </row>
    <row r="96" spans="1:3" ht="16.5" thickBot="1" x14ac:dyDescent="0.3">
      <c r="A96" s="95">
        <v>4</v>
      </c>
      <c r="B96" s="121" t="s">
        <v>213</v>
      </c>
      <c r="C96" s="121" t="s">
        <v>163</v>
      </c>
    </row>
    <row r="97" spans="1:3" ht="16.5" thickBot="1" x14ac:dyDescent="0.3">
      <c r="A97" s="97" t="s">
        <v>204</v>
      </c>
      <c r="B97" s="98" t="s">
        <v>205</v>
      </c>
      <c r="C97" s="316">
        <f>C84</f>
        <v>291.39060903895</v>
      </c>
    </row>
    <row r="98" spans="1:3" ht="16.5" thickBot="1" x14ac:dyDescent="0.3">
      <c r="A98" s="97" t="s">
        <v>210</v>
      </c>
      <c r="B98" s="98" t="s">
        <v>211</v>
      </c>
      <c r="C98" s="316">
        <f>C91</f>
        <v>0</v>
      </c>
    </row>
    <row r="99" spans="1:3" ht="16.5" thickBot="1" x14ac:dyDescent="0.3">
      <c r="A99" s="158" t="s">
        <v>14</v>
      </c>
      <c r="B99" s="159"/>
      <c r="C99" s="316">
        <f>SUM(C97:C98)</f>
        <v>291.39060903895</v>
      </c>
    </row>
    <row r="102" spans="1:3" x14ac:dyDescent="0.25">
      <c r="A102" s="160" t="s">
        <v>214</v>
      </c>
      <c r="B102" s="160"/>
      <c r="C102" s="160"/>
    </row>
    <row r="103" spans="1:3" ht="16.5" thickBot="1" x14ac:dyDescent="0.3"/>
    <row r="104" spans="1:3" ht="16.5" thickBot="1" x14ac:dyDescent="0.3">
      <c r="A104" s="95">
        <v>5</v>
      </c>
      <c r="B104" s="102" t="s">
        <v>124</v>
      </c>
      <c r="C104" s="121" t="s">
        <v>163</v>
      </c>
    </row>
    <row r="105" spans="1:3" ht="16.5" thickBot="1" x14ac:dyDescent="0.3">
      <c r="A105" s="97" t="s">
        <v>164</v>
      </c>
      <c r="B105" s="98" t="s">
        <v>215</v>
      </c>
      <c r="C105" s="316">
        <f>'Custo por trabalhador'!C616</f>
        <v>19.797500000000003</v>
      </c>
    </row>
    <row r="106" spans="1:3" ht="16.5" thickBot="1" x14ac:dyDescent="0.3">
      <c r="A106" s="97" t="s">
        <v>166</v>
      </c>
      <c r="B106" s="98" t="s">
        <v>216</v>
      </c>
      <c r="C106" s="316">
        <v>0</v>
      </c>
    </row>
    <row r="107" spans="1:3" ht="16.5" thickBot="1" x14ac:dyDescent="0.3">
      <c r="A107" s="97" t="s">
        <v>168</v>
      </c>
      <c r="B107" s="326" t="s">
        <v>326</v>
      </c>
      <c r="C107" s="316">
        <f>'Custo por trabalhador'!D639</f>
        <v>12.176499999999999</v>
      </c>
    </row>
    <row r="108" spans="1:3" ht="16.5" thickBot="1" x14ac:dyDescent="0.3">
      <c r="A108" s="97" t="s">
        <v>170</v>
      </c>
      <c r="B108" s="98" t="s">
        <v>175</v>
      </c>
      <c r="C108" s="317">
        <v>0</v>
      </c>
    </row>
    <row r="109" spans="1:3" ht="16.5" thickBot="1" x14ac:dyDescent="0.3">
      <c r="A109" s="158" t="s">
        <v>192</v>
      </c>
      <c r="B109" s="159"/>
      <c r="C109" s="316">
        <f>SUM(C105:C108)</f>
        <v>31.974000000000004</v>
      </c>
    </row>
    <row r="112" spans="1:3" x14ac:dyDescent="0.25">
      <c r="A112" s="160" t="s">
        <v>217</v>
      </c>
      <c r="B112" s="160"/>
      <c r="C112" s="160"/>
    </row>
    <row r="113" spans="1:5" ht="16.5" thickBot="1" x14ac:dyDescent="0.3"/>
    <row r="114" spans="1:5" ht="16.5" thickBot="1" x14ac:dyDescent="0.3">
      <c r="A114" s="95">
        <v>6</v>
      </c>
      <c r="B114" s="102" t="s">
        <v>125</v>
      </c>
      <c r="C114" s="121" t="s">
        <v>185</v>
      </c>
      <c r="D114" s="121" t="s">
        <v>163</v>
      </c>
    </row>
    <row r="115" spans="1:5" ht="16.5" thickBot="1" x14ac:dyDescent="0.3">
      <c r="A115" s="97" t="s">
        <v>164</v>
      </c>
      <c r="B115" s="98" t="s">
        <v>148</v>
      </c>
      <c r="C115" s="99">
        <f>'Custo por trabalhador'!B661</f>
        <v>0.03</v>
      </c>
      <c r="D115" s="316">
        <f>'Custo por trabalhador'!D672*'F COPACOZINHA 12X36 NOTURNO'!C115</f>
        <v>30.22286214637731</v>
      </c>
    </row>
    <row r="116" spans="1:5" ht="16.5" thickBot="1" x14ac:dyDescent="0.3">
      <c r="A116" s="97" t="s">
        <v>166</v>
      </c>
      <c r="B116" s="98" t="s">
        <v>150</v>
      </c>
      <c r="C116" s="99">
        <f>'Custo por trabalhador'!B663</f>
        <v>6.7900000000000002E-2</v>
      </c>
      <c r="D116" s="316">
        <f>'Custo por trabalhador'!G697*'Custo por trabalhador'!B663</f>
        <v>456.32476466562832</v>
      </c>
    </row>
    <row r="117" spans="1:5" ht="16.5" thickBot="1" x14ac:dyDescent="0.3">
      <c r="A117" s="97" t="s">
        <v>168</v>
      </c>
      <c r="B117" s="98" t="s">
        <v>149</v>
      </c>
      <c r="C117" s="99">
        <f>'Custo por trabalhador'!B662</f>
        <v>5.6500000000000002E-2</v>
      </c>
      <c r="D117" s="316">
        <f>'Custo por trabalhador'!G697*'F COPACOZINHA 12X36 NOTURNO'!C117</f>
        <v>379.7105921002651</v>
      </c>
    </row>
    <row r="118" spans="1:5" ht="16.5" thickBot="1" x14ac:dyDescent="0.3">
      <c r="A118" s="97"/>
      <c r="B118" s="98" t="s">
        <v>324</v>
      </c>
      <c r="C118" s="331">
        <v>6.4999999999999997E-3</v>
      </c>
      <c r="D118" s="329">
        <f>'Custo por trabalhador'!G697*0.65%</f>
        <v>43.683519445163242</v>
      </c>
    </row>
    <row r="119" spans="1:5" ht="16.5" thickBot="1" x14ac:dyDescent="0.3">
      <c r="A119" s="97"/>
      <c r="B119" s="98" t="s">
        <v>325</v>
      </c>
      <c r="C119" s="327">
        <v>0.03</v>
      </c>
      <c r="D119" s="329">
        <f>'Custo por trabalhador'!G697*3%</f>
        <v>201.61624359306111</v>
      </c>
    </row>
    <row r="120" spans="1:5" ht="16.5" thickBot="1" x14ac:dyDescent="0.3">
      <c r="A120" s="97"/>
      <c r="B120" s="98" t="s">
        <v>323</v>
      </c>
      <c r="C120" s="327">
        <v>0.02</v>
      </c>
      <c r="D120" s="329">
        <f>'Custo por trabalhador'!G697*2%</f>
        <v>134.41082906204073</v>
      </c>
      <c r="E120" s="328"/>
    </row>
    <row r="121" spans="1:5" ht="16.5" thickBot="1" x14ac:dyDescent="0.3">
      <c r="A121" s="158" t="s">
        <v>192</v>
      </c>
      <c r="B121" s="159"/>
      <c r="C121" s="327"/>
      <c r="D121" s="316">
        <f>SUM(D115:D117)</f>
        <v>866.25821891227076</v>
      </c>
    </row>
    <row r="124" spans="1:5" x14ac:dyDescent="0.25">
      <c r="A124" s="160" t="s">
        <v>218</v>
      </c>
      <c r="B124" s="160"/>
      <c r="C124" s="160"/>
    </row>
    <row r="125" spans="1:5" ht="16.5" thickBot="1" x14ac:dyDescent="0.3"/>
    <row r="126" spans="1:5" ht="16.5" thickBot="1" x14ac:dyDescent="0.3">
      <c r="A126" s="95"/>
      <c r="B126" s="121" t="s">
        <v>219</v>
      </c>
      <c r="C126" s="121" t="s">
        <v>163</v>
      </c>
    </row>
    <row r="127" spans="1:5" ht="16.5" thickBot="1" x14ac:dyDescent="0.3">
      <c r="A127" s="104" t="s">
        <v>164</v>
      </c>
      <c r="B127" s="98" t="s">
        <v>161</v>
      </c>
      <c r="C127" s="330">
        <f>C16</f>
        <v>2497.3971428571426</v>
      </c>
    </row>
    <row r="128" spans="1:5" ht="16.5" thickBot="1" x14ac:dyDescent="0.3">
      <c r="A128" s="104" t="s">
        <v>166</v>
      </c>
      <c r="B128" s="98" t="s">
        <v>176</v>
      </c>
      <c r="C128" s="330">
        <f>C60</f>
        <v>2551.0197885714283</v>
      </c>
    </row>
    <row r="129" spans="1:3" ht="16.5" thickBot="1" x14ac:dyDescent="0.3">
      <c r="A129" s="104" t="s">
        <v>168</v>
      </c>
      <c r="B129" s="98" t="s">
        <v>200</v>
      </c>
      <c r="C129" s="330">
        <f>C69</f>
        <v>313.55422370347947</v>
      </c>
    </row>
    <row r="130" spans="1:3" ht="16.5" thickBot="1" x14ac:dyDescent="0.3">
      <c r="A130" s="104" t="s">
        <v>170</v>
      </c>
      <c r="B130" s="98" t="s">
        <v>202</v>
      </c>
      <c r="C130" s="330">
        <f>C99</f>
        <v>291.39060903895</v>
      </c>
    </row>
    <row r="131" spans="1:3" ht="16.5" thickBot="1" x14ac:dyDescent="0.3">
      <c r="A131" s="104" t="s">
        <v>171</v>
      </c>
      <c r="B131" s="98" t="s">
        <v>214</v>
      </c>
      <c r="C131" s="330">
        <f>C109</f>
        <v>31.974000000000004</v>
      </c>
    </row>
    <row r="132" spans="1:3" ht="16.5" thickBot="1" x14ac:dyDescent="0.3">
      <c r="A132" s="158" t="s">
        <v>220</v>
      </c>
      <c r="B132" s="159"/>
      <c r="C132" s="330">
        <f>SUM(C127:C131)</f>
        <v>5685.3357641710008</v>
      </c>
    </row>
    <row r="133" spans="1:3" ht="16.5" thickBot="1" x14ac:dyDescent="0.3">
      <c r="A133" s="104" t="s">
        <v>173</v>
      </c>
      <c r="B133" s="98" t="s">
        <v>221</v>
      </c>
      <c r="C133" s="330">
        <f>D121</f>
        <v>866.25821891227076</v>
      </c>
    </row>
    <row r="134" spans="1:3" ht="16.5" thickBot="1" x14ac:dyDescent="0.3">
      <c r="A134" s="158" t="s">
        <v>222</v>
      </c>
      <c r="B134" s="159"/>
      <c r="C134" s="330">
        <f>C132+C133</f>
        <v>6551.5939830832713</v>
      </c>
    </row>
  </sheetData>
  <mergeCells count="30">
    <mergeCell ref="A109:B109"/>
    <mergeCell ref="A112:C112"/>
    <mergeCell ref="A121:B121"/>
    <mergeCell ref="A124:C124"/>
    <mergeCell ref="A132:B132"/>
    <mergeCell ref="A134:B134"/>
    <mergeCell ref="A84:B84"/>
    <mergeCell ref="A87:C87"/>
    <mergeCell ref="A91:B91"/>
    <mergeCell ref="A94:C94"/>
    <mergeCell ref="A99:B99"/>
    <mergeCell ref="A102:C102"/>
    <mergeCell ref="A54:C54"/>
    <mergeCell ref="A60:B60"/>
    <mergeCell ref="A63:C63"/>
    <mergeCell ref="A69:B69"/>
    <mergeCell ref="A72:C72"/>
    <mergeCell ref="A75:C75"/>
    <mergeCell ref="A21:C21"/>
    <mergeCell ref="A26:B26"/>
    <mergeCell ref="A29:D29"/>
    <mergeCell ref="A40:B40"/>
    <mergeCell ref="A43:C43"/>
    <mergeCell ref="A51:B51"/>
    <mergeCell ref="A1:D1"/>
    <mergeCell ref="A2:D2"/>
    <mergeCell ref="A3:D3"/>
    <mergeCell ref="A6:C6"/>
    <mergeCell ref="A16:B16"/>
    <mergeCell ref="A19:C19"/>
  </mergeCells>
  <pageMargins left="0.511811024" right="0.511811024" top="0.78740157499999996" bottom="0.78740157499999996" header="0.31496062000000002" footer="0.31496062000000002"/>
  <pageSetup paperSize="9" scale="8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
  <sheetViews>
    <sheetView showGridLines="0" zoomScale="115" zoomScaleNormal="115" workbookViewId="0">
      <selection activeCell="D135" sqref="A1:D135"/>
    </sheetView>
  </sheetViews>
  <sheetFormatPr defaultRowHeight="15.75" x14ac:dyDescent="0.25"/>
  <cols>
    <col min="1" max="1" width="9.140625" style="103"/>
    <col min="2" max="2" width="72.140625" style="103" customWidth="1"/>
    <col min="3" max="3" width="18" style="103" customWidth="1"/>
    <col min="4" max="4" width="14.28515625" style="103" customWidth="1"/>
    <col min="5" max="5" width="12.7109375" style="103" customWidth="1"/>
    <col min="6" max="6" width="12" style="103" customWidth="1"/>
    <col min="7" max="7" width="15.140625" style="103" customWidth="1"/>
    <col min="8" max="16384" width="9.140625" style="103"/>
  </cols>
  <sheetData>
    <row r="1" spans="1:4" ht="23.25" x14ac:dyDescent="0.35">
      <c r="A1" s="139" t="s">
        <v>223</v>
      </c>
      <c r="B1" s="139"/>
      <c r="C1" s="139"/>
      <c r="D1" s="139"/>
    </row>
    <row r="2" spans="1:4" ht="23.25" x14ac:dyDescent="0.35">
      <c r="A2" s="139" t="s">
        <v>225</v>
      </c>
      <c r="B2" s="139"/>
      <c r="C2" s="139"/>
      <c r="D2" s="139"/>
    </row>
    <row r="3" spans="1:4" x14ac:dyDescent="0.25">
      <c r="A3" s="163" t="s">
        <v>233</v>
      </c>
      <c r="B3" s="163"/>
      <c r="C3" s="163"/>
      <c r="D3" s="163"/>
    </row>
    <row r="6" spans="1:4" x14ac:dyDescent="0.25">
      <c r="A6" s="162" t="s">
        <v>161</v>
      </c>
      <c r="B6" s="162"/>
      <c r="C6" s="162"/>
    </row>
    <row r="7" spans="1:4" ht="16.5" thickBot="1" x14ac:dyDescent="0.3"/>
    <row r="8" spans="1:4" ht="16.5" thickBot="1" x14ac:dyDescent="0.3">
      <c r="A8" s="95">
        <v>1</v>
      </c>
      <c r="B8" s="121" t="s">
        <v>162</v>
      </c>
      <c r="C8" s="121" t="s">
        <v>163</v>
      </c>
    </row>
    <row r="9" spans="1:4" ht="16.5" thickBot="1" x14ac:dyDescent="0.3">
      <c r="A9" s="97" t="s">
        <v>164</v>
      </c>
      <c r="B9" s="98" t="s">
        <v>165</v>
      </c>
      <c r="C9" s="317">
        <f>'Custo por trabalhador'!B18</f>
        <v>1961</v>
      </c>
    </row>
    <row r="10" spans="1:4" ht="16.5" thickBot="1" x14ac:dyDescent="0.3">
      <c r="A10" s="97" t="s">
        <v>166</v>
      </c>
      <c r="B10" s="98" t="s">
        <v>167</v>
      </c>
      <c r="C10" s="317">
        <v>0</v>
      </c>
    </row>
    <row r="11" spans="1:4" ht="16.5" thickBot="1" x14ac:dyDescent="0.3">
      <c r="A11" s="97" t="s">
        <v>168</v>
      </c>
      <c r="B11" s="98" t="s">
        <v>169</v>
      </c>
      <c r="C11" s="317">
        <f>'Custo por trabalhador'!D50</f>
        <v>324.20000000000005</v>
      </c>
    </row>
    <row r="12" spans="1:4" ht="16.5" thickBot="1" x14ac:dyDescent="0.3">
      <c r="A12" s="97" t="s">
        <v>170</v>
      </c>
      <c r="B12" s="98" t="s">
        <v>11</v>
      </c>
      <c r="C12" s="317">
        <f>'Custo por trabalhador'!E61</f>
        <v>0</v>
      </c>
    </row>
    <row r="13" spans="1:4" ht="16.5" thickBot="1" x14ac:dyDescent="0.3">
      <c r="A13" s="97" t="s">
        <v>171</v>
      </c>
      <c r="B13" s="98" t="s">
        <v>172</v>
      </c>
      <c r="C13" s="317">
        <f>'Custo por trabalhador'!E75</f>
        <v>0</v>
      </c>
    </row>
    <row r="14" spans="1:4" ht="16.5" thickBot="1" x14ac:dyDescent="0.3">
      <c r="A14" s="97"/>
      <c r="B14" s="98"/>
      <c r="C14" s="317"/>
    </row>
    <row r="15" spans="1:4" ht="16.5" thickBot="1" x14ac:dyDescent="0.3">
      <c r="A15" s="97" t="s">
        <v>174</v>
      </c>
      <c r="B15" s="98" t="s">
        <v>175</v>
      </c>
      <c r="C15" s="317">
        <f>'Custo por trabalhador'!D28</f>
        <v>0</v>
      </c>
    </row>
    <row r="16" spans="1:4" ht="16.5" thickBot="1" x14ac:dyDescent="0.3">
      <c r="A16" s="158" t="s">
        <v>14</v>
      </c>
      <c r="B16" s="159"/>
      <c r="C16" s="317">
        <f>SUM(C9:C15)</f>
        <v>2285.1999999999998</v>
      </c>
    </row>
    <row r="19" spans="1:4" x14ac:dyDescent="0.25">
      <c r="A19" s="160" t="s">
        <v>176</v>
      </c>
      <c r="B19" s="160"/>
      <c r="C19" s="160"/>
    </row>
    <row r="20" spans="1:4" x14ac:dyDescent="0.25">
      <c r="A20" s="94"/>
    </row>
    <row r="21" spans="1:4" x14ac:dyDescent="0.25">
      <c r="A21" s="161" t="s">
        <v>177</v>
      </c>
      <c r="B21" s="161"/>
      <c r="C21" s="161"/>
    </row>
    <row r="22" spans="1:4" ht="16.5" thickBot="1" x14ac:dyDescent="0.3"/>
    <row r="23" spans="1:4" ht="16.5" thickBot="1" x14ac:dyDescent="0.3">
      <c r="A23" s="95" t="s">
        <v>178</v>
      </c>
      <c r="B23" s="121" t="s">
        <v>179</v>
      </c>
      <c r="C23" s="121" t="s">
        <v>163</v>
      </c>
    </row>
    <row r="24" spans="1:4" ht="16.5" thickBot="1" x14ac:dyDescent="0.3">
      <c r="A24" s="97" t="s">
        <v>164</v>
      </c>
      <c r="B24" s="98" t="s">
        <v>180</v>
      </c>
      <c r="C24" s="316">
        <f>'Custo por trabalhador'!D127</f>
        <v>190.43333333333331</v>
      </c>
    </row>
    <row r="25" spans="1:4" ht="16.5" thickBot="1" x14ac:dyDescent="0.3">
      <c r="A25" s="97" t="s">
        <v>166</v>
      </c>
      <c r="B25" s="98" t="s">
        <v>181</v>
      </c>
      <c r="C25" s="316">
        <f>'Custo por trabalhador'!C166+'Custo por trabalhador'!D166</f>
        <v>253.91111111111107</v>
      </c>
    </row>
    <row r="26" spans="1:4" ht="16.5" thickBot="1" x14ac:dyDescent="0.3">
      <c r="A26" s="158" t="s">
        <v>14</v>
      </c>
      <c r="B26" s="159"/>
      <c r="C26" s="316">
        <f>SUM(C24:C25)</f>
        <v>444.34444444444438</v>
      </c>
    </row>
    <row r="29" spans="1:4" ht="32.25" customHeight="1" x14ac:dyDescent="0.25">
      <c r="A29" s="164" t="s">
        <v>182</v>
      </c>
      <c r="B29" s="164"/>
      <c r="C29" s="164"/>
      <c r="D29" s="164"/>
    </row>
    <row r="30" spans="1:4" ht="16.5" thickBot="1" x14ac:dyDescent="0.3"/>
    <row r="31" spans="1:4" ht="16.5" thickBot="1" x14ac:dyDescent="0.3">
      <c r="A31" s="95" t="s">
        <v>183</v>
      </c>
      <c r="B31" s="121" t="s">
        <v>184</v>
      </c>
      <c r="C31" s="121" t="s">
        <v>185</v>
      </c>
      <c r="D31" s="121" t="s">
        <v>163</v>
      </c>
    </row>
    <row r="32" spans="1:4" ht="16.5" thickBot="1" x14ac:dyDescent="0.3">
      <c r="A32" s="97" t="s">
        <v>164</v>
      </c>
      <c r="B32" s="98" t="s">
        <v>186</v>
      </c>
      <c r="C32" s="99">
        <v>0.2</v>
      </c>
      <c r="D32" s="316">
        <f>(C26+C16)*C32</f>
        <v>545.9088888888889</v>
      </c>
    </row>
    <row r="33" spans="1:4" ht="16.5" thickBot="1" x14ac:dyDescent="0.3">
      <c r="A33" s="97" t="s">
        <v>166</v>
      </c>
      <c r="B33" s="98" t="s">
        <v>187</v>
      </c>
      <c r="C33" s="99">
        <v>2.5000000000000001E-2</v>
      </c>
      <c r="D33" s="316">
        <f>($C$26+$C$16)*C33</f>
        <v>68.238611111111112</v>
      </c>
    </row>
    <row r="34" spans="1:4" ht="16.5" thickBot="1" x14ac:dyDescent="0.3">
      <c r="A34" s="97" t="s">
        <v>168</v>
      </c>
      <c r="B34" s="98" t="s">
        <v>188</v>
      </c>
      <c r="C34" s="319">
        <f>'Custo por trabalhador'!B178</f>
        <v>0.03</v>
      </c>
      <c r="D34" s="316">
        <f t="shared" ref="D34:D39" si="0">($C$26+$C$16)*C34</f>
        <v>81.886333333333326</v>
      </c>
    </row>
    <row r="35" spans="1:4" ht="16.5" thickBot="1" x14ac:dyDescent="0.3">
      <c r="A35" s="97" t="s">
        <v>170</v>
      </c>
      <c r="B35" s="98" t="s">
        <v>189</v>
      </c>
      <c r="C35" s="99">
        <v>1.4999999999999999E-2</v>
      </c>
      <c r="D35" s="316">
        <f t="shared" si="0"/>
        <v>40.943166666666663</v>
      </c>
    </row>
    <row r="36" spans="1:4" ht="16.5" thickBot="1" x14ac:dyDescent="0.3">
      <c r="A36" s="97" t="s">
        <v>171</v>
      </c>
      <c r="B36" s="98" t="s">
        <v>190</v>
      </c>
      <c r="C36" s="99">
        <v>0.01</v>
      </c>
      <c r="D36" s="316">
        <f t="shared" si="0"/>
        <v>27.295444444444442</v>
      </c>
    </row>
    <row r="37" spans="1:4" ht="16.5" thickBot="1" x14ac:dyDescent="0.3">
      <c r="A37" s="97" t="s">
        <v>173</v>
      </c>
      <c r="B37" s="98" t="s">
        <v>27</v>
      </c>
      <c r="C37" s="99">
        <v>6.0000000000000001E-3</v>
      </c>
      <c r="D37" s="316">
        <f t="shared" si="0"/>
        <v>16.377266666666667</v>
      </c>
    </row>
    <row r="38" spans="1:4" ht="16.5" thickBot="1" x14ac:dyDescent="0.3">
      <c r="A38" s="97" t="s">
        <v>174</v>
      </c>
      <c r="B38" s="98" t="s">
        <v>28</v>
      </c>
      <c r="C38" s="99">
        <v>2E-3</v>
      </c>
      <c r="D38" s="316">
        <f t="shared" si="0"/>
        <v>5.4590888888888882</v>
      </c>
    </row>
    <row r="39" spans="1:4" ht="16.5" thickBot="1" x14ac:dyDescent="0.3">
      <c r="A39" s="97" t="s">
        <v>191</v>
      </c>
      <c r="B39" s="98" t="s">
        <v>29</v>
      </c>
      <c r="C39" s="99">
        <v>0.08</v>
      </c>
      <c r="D39" s="316">
        <f t="shared" si="0"/>
        <v>218.36355555555554</v>
      </c>
    </row>
    <row r="40" spans="1:4" ht="16.5" thickBot="1" x14ac:dyDescent="0.3">
      <c r="A40" s="158" t="s">
        <v>192</v>
      </c>
      <c r="B40" s="159"/>
      <c r="C40" s="99">
        <f>SUM(C32:C39)</f>
        <v>0.36800000000000005</v>
      </c>
      <c r="D40" s="316">
        <f>SUM(D32:D39)</f>
        <v>1004.4723555555556</v>
      </c>
    </row>
    <row r="43" spans="1:4" x14ac:dyDescent="0.25">
      <c r="A43" s="161" t="s">
        <v>193</v>
      </c>
      <c r="B43" s="161"/>
      <c r="C43" s="161"/>
    </row>
    <row r="44" spans="1:4" ht="16.5" thickBot="1" x14ac:dyDescent="0.3"/>
    <row r="45" spans="1:4" ht="16.5" thickBot="1" x14ac:dyDescent="0.3">
      <c r="A45" s="95" t="s">
        <v>194</v>
      </c>
      <c r="B45" s="121" t="s">
        <v>195</v>
      </c>
      <c r="C45" s="121" t="s">
        <v>163</v>
      </c>
    </row>
    <row r="46" spans="1:4" ht="16.5" thickBot="1" x14ac:dyDescent="0.3">
      <c r="A46" s="97" t="s">
        <v>164</v>
      </c>
      <c r="B46" s="98" t="s">
        <v>196</v>
      </c>
      <c r="C46" s="316">
        <f>'Custo por trabalhador'!D261</f>
        <v>91.17</v>
      </c>
    </row>
    <row r="47" spans="1:4" ht="16.5" thickBot="1" x14ac:dyDescent="0.3">
      <c r="A47" s="97" t="s">
        <v>166</v>
      </c>
      <c r="B47" s="98" t="s">
        <v>197</v>
      </c>
      <c r="C47" s="316">
        <f>'Custo por trabalhador'!D301</f>
        <v>720</v>
      </c>
    </row>
    <row r="48" spans="1:4" ht="16.5" thickBot="1" x14ac:dyDescent="0.3">
      <c r="A48" s="97" t="s">
        <v>168</v>
      </c>
      <c r="B48" s="98" t="str">
        <f>'Custo por trabalhador'!D323</f>
        <v>Auxílio Saúde</v>
      </c>
      <c r="C48" s="316">
        <f>'Custo por trabalhador'!B317</f>
        <v>94.5</v>
      </c>
    </row>
    <row r="49" spans="1:3" ht="16.5" thickBot="1" x14ac:dyDescent="0.3">
      <c r="A49" s="97" t="s">
        <v>170</v>
      </c>
      <c r="B49" s="98" t="str">
        <f>'Custo por trabalhador'!E323</f>
        <v>Benefício Social Familiar</v>
      </c>
      <c r="C49" s="316">
        <f>'Custo por trabalhador'!C317</f>
        <v>31</v>
      </c>
    </row>
    <row r="50" spans="1:3" ht="16.5" thickBot="1" x14ac:dyDescent="0.3">
      <c r="A50" s="318" t="s">
        <v>171</v>
      </c>
      <c r="B50" s="98" t="str">
        <f>'Custo por trabalhador'!F323</f>
        <v>Fundo de Formação Profissional</v>
      </c>
      <c r="C50" s="316">
        <f>'Custo por trabalhador'!D317</f>
        <v>31</v>
      </c>
    </row>
    <row r="51" spans="1:3" ht="16.5" thickBot="1" x14ac:dyDescent="0.3">
      <c r="A51" s="158" t="s">
        <v>14</v>
      </c>
      <c r="B51" s="159"/>
      <c r="C51" s="316">
        <f>SUM(C46:C50)</f>
        <v>967.67</v>
      </c>
    </row>
    <row r="54" spans="1:3" x14ac:dyDescent="0.25">
      <c r="A54" s="161" t="s">
        <v>198</v>
      </c>
      <c r="B54" s="161"/>
      <c r="C54" s="161"/>
    </row>
    <row r="55" spans="1:3" ht="16.5" thickBot="1" x14ac:dyDescent="0.3"/>
    <row r="56" spans="1:3" ht="16.5" thickBot="1" x14ac:dyDescent="0.3">
      <c r="A56" s="95">
        <v>2</v>
      </c>
      <c r="B56" s="121" t="s">
        <v>199</v>
      </c>
      <c r="C56" s="121" t="s">
        <v>163</v>
      </c>
    </row>
    <row r="57" spans="1:3" ht="16.5" thickBot="1" x14ac:dyDescent="0.3">
      <c r="A57" s="97" t="s">
        <v>178</v>
      </c>
      <c r="B57" s="98" t="s">
        <v>179</v>
      </c>
      <c r="C57" s="316">
        <f>C26</f>
        <v>444.34444444444438</v>
      </c>
    </row>
    <row r="58" spans="1:3" ht="16.5" thickBot="1" x14ac:dyDescent="0.3">
      <c r="A58" s="97" t="s">
        <v>183</v>
      </c>
      <c r="B58" s="98" t="s">
        <v>184</v>
      </c>
      <c r="C58" s="316">
        <f>D40</f>
        <v>1004.4723555555556</v>
      </c>
    </row>
    <row r="59" spans="1:3" ht="16.5" thickBot="1" x14ac:dyDescent="0.3">
      <c r="A59" s="97" t="s">
        <v>194</v>
      </c>
      <c r="B59" s="98" t="s">
        <v>195</v>
      </c>
      <c r="C59" s="316">
        <f>C51</f>
        <v>967.67</v>
      </c>
    </row>
    <row r="60" spans="1:3" ht="16.5" thickBot="1" x14ac:dyDescent="0.3">
      <c r="A60" s="158" t="s">
        <v>14</v>
      </c>
      <c r="B60" s="159"/>
      <c r="C60" s="316">
        <f>SUM(C57:C59)</f>
        <v>2416.4868000000001</v>
      </c>
    </row>
    <row r="61" spans="1:3" x14ac:dyDescent="0.25">
      <c r="A61" s="13"/>
    </row>
    <row r="63" spans="1:3" x14ac:dyDescent="0.25">
      <c r="A63" s="160" t="s">
        <v>200</v>
      </c>
      <c r="B63" s="160"/>
      <c r="C63" s="160"/>
    </row>
    <row r="64" spans="1:3" ht="16.5" thickBot="1" x14ac:dyDescent="0.3"/>
    <row r="65" spans="1:3" ht="16.5" thickBot="1" x14ac:dyDescent="0.3">
      <c r="A65" s="95">
        <v>3</v>
      </c>
      <c r="B65" s="121" t="s">
        <v>201</v>
      </c>
      <c r="C65" s="121" t="s">
        <v>163</v>
      </c>
    </row>
    <row r="66" spans="1:3" ht="16.5" thickBot="1" x14ac:dyDescent="0.3">
      <c r="A66" s="97" t="s">
        <v>164</v>
      </c>
      <c r="B66" s="101" t="s">
        <v>321</v>
      </c>
      <c r="C66" s="316">
        <f>'Custo por trabalhador'!D398</f>
        <v>131.45577426062147</v>
      </c>
    </row>
    <row r="67" spans="1:3" x14ac:dyDescent="0.25">
      <c r="A67" s="320" t="s">
        <v>166</v>
      </c>
      <c r="B67" s="321" t="s">
        <v>322</v>
      </c>
      <c r="C67" s="322">
        <f>'Custo por trabalhador'!D440</f>
        <v>186.54189388730242</v>
      </c>
    </row>
    <row r="68" spans="1:3" x14ac:dyDescent="0.25">
      <c r="A68" s="168" t="s">
        <v>168</v>
      </c>
      <c r="B68" s="325" t="s">
        <v>320</v>
      </c>
      <c r="C68" s="315">
        <f>'Custo por trabalhador'!D469</f>
        <v>-4.8560499999999989</v>
      </c>
    </row>
    <row r="69" spans="1:3" ht="16.5" thickBot="1" x14ac:dyDescent="0.3">
      <c r="A69" s="323" t="s">
        <v>14</v>
      </c>
      <c r="B69" s="324"/>
      <c r="C69" s="316">
        <f>SUM(C66:C68)</f>
        <v>313.14161814792391</v>
      </c>
    </row>
    <row r="72" spans="1:3" x14ac:dyDescent="0.25">
      <c r="A72" s="160" t="s">
        <v>202</v>
      </c>
      <c r="B72" s="160"/>
      <c r="C72" s="160"/>
    </row>
    <row r="75" spans="1:3" x14ac:dyDescent="0.25">
      <c r="A75" s="161" t="s">
        <v>203</v>
      </c>
      <c r="B75" s="161"/>
      <c r="C75" s="161"/>
    </row>
    <row r="76" spans="1:3" ht="16.5" thickBot="1" x14ac:dyDescent="0.3">
      <c r="A76" s="94"/>
    </row>
    <row r="77" spans="1:3" ht="16.5" thickBot="1" x14ac:dyDescent="0.3">
      <c r="A77" s="95" t="s">
        <v>204</v>
      </c>
      <c r="B77" s="121" t="s">
        <v>205</v>
      </c>
      <c r="C77" s="121" t="s">
        <v>163</v>
      </c>
    </row>
    <row r="78" spans="1:3" ht="16.5" thickBot="1" x14ac:dyDescent="0.3">
      <c r="A78" s="97" t="s">
        <v>164</v>
      </c>
      <c r="B78" s="98" t="s">
        <v>18</v>
      </c>
      <c r="C78" s="316">
        <f>'Custo por trabalhador'!G497*'Custo por trabalhador'!D537/12</f>
        <v>312.14553199589187</v>
      </c>
    </row>
    <row r="79" spans="1:3" ht="16.5" thickBot="1" x14ac:dyDescent="0.3">
      <c r="A79" s="97" t="s">
        <v>166</v>
      </c>
      <c r="B79" s="98" t="s">
        <v>205</v>
      </c>
      <c r="C79" s="316">
        <f>'Custo por trabalhador'!D537*'Custo por trabalhador'!C498/12</f>
        <v>14.893218193268043</v>
      </c>
    </row>
    <row r="80" spans="1:3" ht="16.5" thickBot="1" x14ac:dyDescent="0.3">
      <c r="A80" s="97" t="s">
        <v>168</v>
      </c>
      <c r="B80" s="98" t="s">
        <v>206</v>
      </c>
      <c r="C80" s="316">
        <f>'Custo por trabalhador'!D537*'Custo por trabalhador'!G506/12</f>
        <v>2.9757874050275031</v>
      </c>
    </row>
    <row r="81" spans="1:3" ht="16.5" thickBot="1" x14ac:dyDescent="0.3">
      <c r="A81" s="97" t="s">
        <v>170</v>
      </c>
      <c r="B81" s="98" t="s">
        <v>207</v>
      </c>
      <c r="C81" s="316">
        <f>'Custo por trabalhador'!D537*'Custo por trabalhador'!G499/12</f>
        <v>14.389909025010615</v>
      </c>
    </row>
    <row r="82" spans="1:3" ht="16.5" thickBot="1" x14ac:dyDescent="0.3">
      <c r="A82" s="97" t="s">
        <v>171</v>
      </c>
      <c r="B82" s="98" t="s">
        <v>208</v>
      </c>
      <c r="C82" s="316">
        <f>'Custo por trabalhador'!D537*'Custo por trabalhador'!G507/12</f>
        <v>36.895601881914416</v>
      </c>
    </row>
    <row r="83" spans="1:3" ht="16.5" thickBot="1" x14ac:dyDescent="0.3">
      <c r="A83" s="97" t="s">
        <v>173</v>
      </c>
      <c r="B83" s="98" t="s">
        <v>175</v>
      </c>
      <c r="C83" s="316">
        <f>'Custo por trabalhador'!E545-C78-C79-C80-C81-C82</f>
        <v>-3.5968495632174253</v>
      </c>
    </row>
    <row r="84" spans="1:3" ht="16.5" thickBot="1" x14ac:dyDescent="0.3">
      <c r="A84" s="158" t="s">
        <v>192</v>
      </c>
      <c r="B84" s="159"/>
      <c r="C84" s="316">
        <f>SUM(C78:C83)</f>
        <v>377.70319893789514</v>
      </c>
    </row>
    <row r="87" spans="1:3" x14ac:dyDescent="0.25">
      <c r="A87" s="161" t="s">
        <v>209</v>
      </c>
      <c r="B87" s="161"/>
      <c r="C87" s="161"/>
    </row>
    <row r="88" spans="1:3" ht="16.5" thickBot="1" x14ac:dyDescent="0.3">
      <c r="A88" s="94"/>
    </row>
    <row r="89" spans="1:3" ht="16.5" thickBot="1" x14ac:dyDescent="0.3">
      <c r="A89" s="95" t="s">
        <v>210</v>
      </c>
      <c r="B89" s="121" t="s">
        <v>211</v>
      </c>
      <c r="C89" s="121" t="s">
        <v>163</v>
      </c>
    </row>
    <row r="90" spans="1:3" ht="16.5" thickBot="1" x14ac:dyDescent="0.3">
      <c r="A90" s="97" t="s">
        <v>164</v>
      </c>
      <c r="B90" s="98" t="s">
        <v>234</v>
      </c>
      <c r="C90" s="316">
        <f>'Custo por trabalhador'!D574</f>
        <v>0</v>
      </c>
    </row>
    <row r="91" spans="1:3" ht="16.5" thickBot="1" x14ac:dyDescent="0.3">
      <c r="A91" s="158" t="s">
        <v>14</v>
      </c>
      <c r="B91" s="159"/>
      <c r="C91" s="316">
        <f>SUM(C90)</f>
        <v>0</v>
      </c>
    </row>
    <row r="94" spans="1:3" x14ac:dyDescent="0.25">
      <c r="A94" s="161" t="s">
        <v>212</v>
      </c>
      <c r="B94" s="161"/>
      <c r="C94" s="161"/>
    </row>
    <row r="95" spans="1:3" ht="16.5" thickBot="1" x14ac:dyDescent="0.3">
      <c r="A95" s="94"/>
    </row>
    <row r="96" spans="1:3" ht="16.5" thickBot="1" x14ac:dyDescent="0.3">
      <c r="A96" s="95">
        <v>4</v>
      </c>
      <c r="B96" s="121" t="s">
        <v>213</v>
      </c>
      <c r="C96" s="121" t="s">
        <v>163</v>
      </c>
    </row>
    <row r="97" spans="1:3" ht="16.5" thickBot="1" x14ac:dyDescent="0.3">
      <c r="A97" s="97" t="s">
        <v>204</v>
      </c>
      <c r="B97" s="98" t="s">
        <v>205</v>
      </c>
      <c r="C97" s="316">
        <f>C84</f>
        <v>377.70319893789514</v>
      </c>
    </row>
    <row r="98" spans="1:3" ht="16.5" thickBot="1" x14ac:dyDescent="0.3">
      <c r="A98" s="97" t="s">
        <v>210</v>
      </c>
      <c r="B98" s="98" t="s">
        <v>211</v>
      </c>
      <c r="C98" s="316">
        <f>C91</f>
        <v>0</v>
      </c>
    </row>
    <row r="99" spans="1:3" ht="16.5" thickBot="1" x14ac:dyDescent="0.3">
      <c r="A99" s="158" t="s">
        <v>14</v>
      </c>
      <c r="B99" s="159"/>
      <c r="C99" s="316">
        <f>SUM(C97:C98)</f>
        <v>377.70319893789514</v>
      </c>
    </row>
    <row r="102" spans="1:3" x14ac:dyDescent="0.25">
      <c r="A102" s="160" t="s">
        <v>214</v>
      </c>
      <c r="B102" s="160"/>
      <c r="C102" s="160"/>
    </row>
    <row r="103" spans="1:3" ht="16.5" thickBot="1" x14ac:dyDescent="0.3"/>
    <row r="104" spans="1:3" ht="16.5" thickBot="1" x14ac:dyDescent="0.3">
      <c r="A104" s="95">
        <v>5</v>
      </c>
      <c r="B104" s="102" t="s">
        <v>124</v>
      </c>
      <c r="C104" s="121" t="s">
        <v>163</v>
      </c>
    </row>
    <row r="105" spans="1:3" ht="16.5" thickBot="1" x14ac:dyDescent="0.3">
      <c r="A105" s="97" t="s">
        <v>164</v>
      </c>
      <c r="B105" s="98" t="s">
        <v>215</v>
      </c>
      <c r="C105" s="316">
        <f>'Custo por trabalhador'!C616</f>
        <v>19.797500000000003</v>
      </c>
    </row>
    <row r="106" spans="1:3" ht="16.5" thickBot="1" x14ac:dyDescent="0.3">
      <c r="A106" s="97" t="s">
        <v>166</v>
      </c>
      <c r="B106" s="98" t="s">
        <v>216</v>
      </c>
      <c r="C106" s="316">
        <v>0</v>
      </c>
    </row>
    <row r="107" spans="1:3" ht="16.5" thickBot="1" x14ac:dyDescent="0.3">
      <c r="A107" s="97" t="s">
        <v>168</v>
      </c>
      <c r="B107" s="326" t="s">
        <v>314</v>
      </c>
      <c r="C107" s="316">
        <f>'Custo por trabalhador'!D639</f>
        <v>12.176499999999999</v>
      </c>
    </row>
    <row r="108" spans="1:3" ht="16.5" thickBot="1" x14ac:dyDescent="0.3">
      <c r="A108" s="97" t="s">
        <v>170</v>
      </c>
      <c r="B108" s="98" t="s">
        <v>175</v>
      </c>
      <c r="C108" s="317">
        <v>0</v>
      </c>
    </row>
    <row r="109" spans="1:3" ht="16.5" thickBot="1" x14ac:dyDescent="0.3">
      <c r="A109" s="158" t="s">
        <v>192</v>
      </c>
      <c r="B109" s="159"/>
      <c r="C109" s="316">
        <f>SUM(C105:C108)</f>
        <v>31.974000000000004</v>
      </c>
    </row>
    <row r="112" spans="1:3" x14ac:dyDescent="0.25">
      <c r="A112" s="160" t="s">
        <v>217</v>
      </c>
      <c r="B112" s="160"/>
      <c r="C112" s="160"/>
    </row>
    <row r="113" spans="1:5" ht="16.5" thickBot="1" x14ac:dyDescent="0.3"/>
    <row r="114" spans="1:5" ht="16.5" thickBot="1" x14ac:dyDescent="0.3">
      <c r="A114" s="95">
        <v>6</v>
      </c>
      <c r="B114" s="102" t="s">
        <v>125</v>
      </c>
      <c r="C114" s="121" t="s">
        <v>185</v>
      </c>
      <c r="D114" s="121" t="s">
        <v>163</v>
      </c>
    </row>
    <row r="115" spans="1:5" ht="16.5" thickBot="1" x14ac:dyDescent="0.3">
      <c r="A115" s="97" t="s">
        <v>164</v>
      </c>
      <c r="B115" s="98" t="s">
        <v>148</v>
      </c>
      <c r="C115" s="99">
        <f>'Custo por trabalhador'!B661</f>
        <v>0.03</v>
      </c>
      <c r="D115" s="316">
        <f>'Custo por trabalhador'!B672*'G COPACOZINHA 40H'!C115</f>
        <v>171.3933814466838</v>
      </c>
    </row>
    <row r="116" spans="1:5" ht="16.5" thickBot="1" x14ac:dyDescent="0.3">
      <c r="A116" s="97" t="s">
        <v>166</v>
      </c>
      <c r="B116" s="98" t="s">
        <v>150</v>
      </c>
      <c r="C116" s="99">
        <f>'Custo por trabalhador'!B663</f>
        <v>6.7900000000000002E-2</v>
      </c>
      <c r="D116" s="316">
        <f>'Custo por trabalhador'!H697*'Custo por trabalhador'!B663</f>
        <v>435.05853229761624</v>
      </c>
    </row>
    <row r="117" spans="1:5" ht="16.5" thickBot="1" x14ac:dyDescent="0.3">
      <c r="A117" s="97" t="s">
        <v>168</v>
      </c>
      <c r="B117" s="98" t="s">
        <v>149</v>
      </c>
      <c r="C117" s="99">
        <f>'Custo por trabalhador'!B662</f>
        <v>5.6500000000000002E-2</v>
      </c>
      <c r="D117" s="316">
        <f>'Custo por trabalhador'!H697*'G COPACOZINHA 40H'!C117</f>
        <v>362.01483173512986</v>
      </c>
    </row>
    <row r="118" spans="1:5" ht="16.5" thickBot="1" x14ac:dyDescent="0.3">
      <c r="A118" s="97"/>
      <c r="B118" s="98" t="s">
        <v>324</v>
      </c>
      <c r="C118" s="331">
        <v>6.4999999999999997E-3</v>
      </c>
      <c r="D118" s="329">
        <f>'Custo por trabalhador'!H697*0.65%</f>
        <v>41.647724004926445</v>
      </c>
    </row>
    <row r="119" spans="1:5" ht="16.5" thickBot="1" x14ac:dyDescent="0.3">
      <c r="A119" s="97"/>
      <c r="B119" s="98" t="s">
        <v>325</v>
      </c>
      <c r="C119" s="327">
        <v>0.03</v>
      </c>
      <c r="D119" s="329">
        <f>'Custo por trabalhador'!H697*3%</f>
        <v>192.22026463812205</v>
      </c>
    </row>
    <row r="120" spans="1:5" ht="16.5" thickBot="1" x14ac:dyDescent="0.3">
      <c r="A120" s="97"/>
      <c r="B120" s="98" t="s">
        <v>323</v>
      </c>
      <c r="C120" s="327">
        <v>0.02</v>
      </c>
      <c r="D120" s="329">
        <f>'Custo por trabalhador'!H697*2%</f>
        <v>128.14684309208135</v>
      </c>
      <c r="E120" s="328"/>
    </row>
    <row r="121" spans="1:5" ht="16.5" thickBot="1" x14ac:dyDescent="0.3">
      <c r="A121" s="158" t="s">
        <v>192</v>
      </c>
      <c r="B121" s="159"/>
      <c r="C121" s="327"/>
      <c r="D121" s="316">
        <f>SUM(D115:D117)</f>
        <v>968.46674547942996</v>
      </c>
    </row>
    <row r="124" spans="1:5" x14ac:dyDescent="0.25">
      <c r="A124" s="160" t="s">
        <v>218</v>
      </c>
      <c r="B124" s="160"/>
      <c r="C124" s="160"/>
    </row>
    <row r="125" spans="1:5" ht="16.5" thickBot="1" x14ac:dyDescent="0.3"/>
    <row r="126" spans="1:5" ht="16.5" thickBot="1" x14ac:dyDescent="0.3">
      <c r="A126" s="95"/>
      <c r="B126" s="121" t="s">
        <v>219</v>
      </c>
      <c r="C126" s="121" t="s">
        <v>163</v>
      </c>
    </row>
    <row r="127" spans="1:5" ht="16.5" thickBot="1" x14ac:dyDescent="0.3">
      <c r="A127" s="104" t="s">
        <v>164</v>
      </c>
      <c r="B127" s="98" t="s">
        <v>161</v>
      </c>
      <c r="C127" s="330">
        <f>C16</f>
        <v>2285.1999999999998</v>
      </c>
    </row>
    <row r="128" spans="1:5" ht="16.5" thickBot="1" x14ac:dyDescent="0.3">
      <c r="A128" s="104" t="s">
        <v>166</v>
      </c>
      <c r="B128" s="98" t="s">
        <v>176</v>
      </c>
      <c r="C128" s="330">
        <f>C60</f>
        <v>2416.4868000000001</v>
      </c>
    </row>
    <row r="129" spans="1:3" ht="16.5" thickBot="1" x14ac:dyDescent="0.3">
      <c r="A129" s="104" t="s">
        <v>168</v>
      </c>
      <c r="B129" s="98" t="s">
        <v>200</v>
      </c>
      <c r="C129" s="330">
        <f>C69</f>
        <v>313.14161814792391</v>
      </c>
    </row>
    <row r="130" spans="1:3" ht="16.5" thickBot="1" x14ac:dyDescent="0.3">
      <c r="A130" s="104" t="s">
        <v>170</v>
      </c>
      <c r="B130" s="98" t="s">
        <v>202</v>
      </c>
      <c r="C130" s="330">
        <f>C99</f>
        <v>377.70319893789514</v>
      </c>
    </row>
    <row r="131" spans="1:3" ht="16.5" thickBot="1" x14ac:dyDescent="0.3">
      <c r="A131" s="104" t="s">
        <v>171</v>
      </c>
      <c r="B131" s="98" t="s">
        <v>214</v>
      </c>
      <c r="C131" s="330">
        <f>C109</f>
        <v>31.974000000000004</v>
      </c>
    </row>
    <row r="132" spans="1:3" ht="16.5" thickBot="1" x14ac:dyDescent="0.3">
      <c r="A132" s="158" t="s">
        <v>220</v>
      </c>
      <c r="B132" s="159"/>
      <c r="C132" s="330">
        <f>SUM(C127:C131)</f>
        <v>5424.5056170858179</v>
      </c>
    </row>
    <row r="133" spans="1:3" ht="16.5" thickBot="1" x14ac:dyDescent="0.3">
      <c r="A133" s="104" t="s">
        <v>173</v>
      </c>
      <c r="B133" s="98" t="s">
        <v>221</v>
      </c>
      <c r="C133" s="330">
        <f>D121</f>
        <v>968.46674547942996</v>
      </c>
    </row>
    <row r="134" spans="1:3" ht="16.5" thickBot="1" x14ac:dyDescent="0.3">
      <c r="A134" s="158" t="s">
        <v>222</v>
      </c>
      <c r="B134" s="159"/>
      <c r="C134" s="330">
        <f>C132+C133</f>
        <v>6392.9723625652477</v>
      </c>
    </row>
  </sheetData>
  <mergeCells count="30">
    <mergeCell ref="A109:B109"/>
    <mergeCell ref="A112:C112"/>
    <mergeCell ref="A121:B121"/>
    <mergeCell ref="A124:C124"/>
    <mergeCell ref="A132:B132"/>
    <mergeCell ref="A134:B134"/>
    <mergeCell ref="A84:B84"/>
    <mergeCell ref="A87:C87"/>
    <mergeCell ref="A91:B91"/>
    <mergeCell ref="A94:C94"/>
    <mergeCell ref="A99:B99"/>
    <mergeCell ref="A102:C102"/>
    <mergeCell ref="A54:C54"/>
    <mergeCell ref="A60:B60"/>
    <mergeCell ref="A63:C63"/>
    <mergeCell ref="A69:B69"/>
    <mergeCell ref="A72:C72"/>
    <mergeCell ref="A75:C75"/>
    <mergeCell ref="A21:C21"/>
    <mergeCell ref="A26:B26"/>
    <mergeCell ref="A29:D29"/>
    <mergeCell ref="A40:B40"/>
    <mergeCell ref="A43:C43"/>
    <mergeCell ref="A51:B51"/>
    <mergeCell ref="A1:D1"/>
    <mergeCell ref="A2:D2"/>
    <mergeCell ref="A3:D3"/>
    <mergeCell ref="A6:C6"/>
    <mergeCell ref="A16:B16"/>
    <mergeCell ref="A19:C19"/>
  </mergeCells>
  <pageMargins left="0.511811024" right="0.511811024" top="0.78740157499999996" bottom="0.78740157499999996" header="0.31496062000000002" footer="0.31496062000000002"/>
  <pageSetup paperSize="9" scale="8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
  <sheetViews>
    <sheetView showGridLines="0" topLeftCell="A124" zoomScale="115" zoomScaleNormal="115" workbookViewId="0">
      <selection activeCell="A134" sqref="A134:B134"/>
    </sheetView>
  </sheetViews>
  <sheetFormatPr defaultRowHeight="15.75" x14ac:dyDescent="0.25"/>
  <cols>
    <col min="1" max="1" width="9.140625" style="103"/>
    <col min="2" max="2" width="72.140625" style="103" customWidth="1"/>
    <col min="3" max="3" width="18" style="103" customWidth="1"/>
    <col min="4" max="4" width="14.28515625" style="103" customWidth="1"/>
    <col min="5" max="5" width="12.7109375" style="103" customWidth="1"/>
    <col min="6" max="6" width="12" style="103" customWidth="1"/>
    <col min="7" max="7" width="15.140625" style="103" customWidth="1"/>
    <col min="8" max="16384" width="9.140625" style="103"/>
  </cols>
  <sheetData>
    <row r="1" spans="1:4" ht="23.25" x14ac:dyDescent="0.35">
      <c r="A1" s="139" t="s">
        <v>223</v>
      </c>
      <c r="B1" s="139"/>
      <c r="C1" s="139"/>
      <c r="D1" s="139"/>
    </row>
    <row r="2" spans="1:4" ht="23.25" x14ac:dyDescent="0.35">
      <c r="A2" s="139" t="s">
        <v>225</v>
      </c>
      <c r="B2" s="139"/>
      <c r="C2" s="139"/>
      <c r="D2" s="139"/>
    </row>
    <row r="3" spans="1:4" x14ac:dyDescent="0.25">
      <c r="A3" s="163" t="s">
        <v>233</v>
      </c>
      <c r="B3" s="163"/>
      <c r="C3" s="163"/>
      <c r="D3" s="163"/>
    </row>
    <row r="6" spans="1:4" x14ac:dyDescent="0.25">
      <c r="A6" s="162" t="s">
        <v>161</v>
      </c>
      <c r="B6" s="162"/>
      <c r="C6" s="162"/>
    </row>
    <row r="7" spans="1:4" ht="16.5" thickBot="1" x14ac:dyDescent="0.3"/>
    <row r="8" spans="1:4" ht="16.5" thickBot="1" x14ac:dyDescent="0.3">
      <c r="A8" s="95">
        <v>1</v>
      </c>
      <c r="B8" s="121" t="s">
        <v>162</v>
      </c>
      <c r="C8" s="121" t="s">
        <v>163</v>
      </c>
    </row>
    <row r="9" spans="1:4" ht="16.5" thickBot="1" x14ac:dyDescent="0.3">
      <c r="A9" s="97" t="s">
        <v>164</v>
      </c>
      <c r="B9" s="98" t="s">
        <v>165</v>
      </c>
      <c r="C9" s="317">
        <f>'Custo por trabalhador'!B19</f>
        <v>1727.2727272727273</v>
      </c>
    </row>
    <row r="10" spans="1:4" ht="16.5" thickBot="1" x14ac:dyDescent="0.3">
      <c r="A10" s="97" t="s">
        <v>166</v>
      </c>
      <c r="B10" s="98" t="s">
        <v>167</v>
      </c>
      <c r="C10" s="317">
        <v>0</v>
      </c>
    </row>
    <row r="11" spans="1:4" ht="16.5" thickBot="1" x14ac:dyDescent="0.3">
      <c r="A11" s="97" t="s">
        <v>168</v>
      </c>
      <c r="B11" s="98" t="s">
        <v>169</v>
      </c>
      <c r="C11" s="317">
        <f>'Custo por trabalhador'!D51</f>
        <v>324.20000000000005</v>
      </c>
    </row>
    <row r="12" spans="1:4" ht="16.5" thickBot="1" x14ac:dyDescent="0.3">
      <c r="A12" s="97" t="s">
        <v>170</v>
      </c>
      <c r="B12" s="98" t="s">
        <v>11</v>
      </c>
      <c r="C12" s="317">
        <f>'Custo por trabalhador'!E61</f>
        <v>0</v>
      </c>
    </row>
    <row r="13" spans="1:4" ht="16.5" thickBot="1" x14ac:dyDescent="0.3">
      <c r="A13" s="97" t="s">
        <v>171</v>
      </c>
      <c r="B13" s="98" t="s">
        <v>172</v>
      </c>
      <c r="C13" s="317">
        <f>'Custo por trabalhador'!E75</f>
        <v>0</v>
      </c>
    </row>
    <row r="14" spans="1:4" ht="16.5" thickBot="1" x14ac:dyDescent="0.3">
      <c r="A14" s="97"/>
      <c r="B14" s="98"/>
      <c r="C14" s="317"/>
    </row>
    <row r="15" spans="1:4" ht="16.5" thickBot="1" x14ac:dyDescent="0.3">
      <c r="A15" s="97" t="s">
        <v>174</v>
      </c>
      <c r="B15" s="98" t="s">
        <v>327</v>
      </c>
      <c r="C15" s="317">
        <f>'Custo por trabalhador'!D35</f>
        <v>131</v>
      </c>
    </row>
    <row r="16" spans="1:4" ht="16.5" thickBot="1" x14ac:dyDescent="0.3">
      <c r="A16" s="158" t="s">
        <v>14</v>
      </c>
      <c r="B16" s="159"/>
      <c r="C16" s="317">
        <f>SUM(C9:C15)</f>
        <v>2182.4727272727273</v>
      </c>
    </row>
    <row r="19" spans="1:4" x14ac:dyDescent="0.25">
      <c r="A19" s="160" t="s">
        <v>176</v>
      </c>
      <c r="B19" s="160"/>
      <c r="C19" s="160"/>
    </row>
    <row r="20" spans="1:4" x14ac:dyDescent="0.25">
      <c r="A20" s="94"/>
    </row>
    <row r="21" spans="1:4" x14ac:dyDescent="0.25">
      <c r="A21" s="161" t="s">
        <v>177</v>
      </c>
      <c r="B21" s="161"/>
      <c r="C21" s="161"/>
    </row>
    <row r="22" spans="1:4" ht="16.5" thickBot="1" x14ac:dyDescent="0.3"/>
    <row r="23" spans="1:4" ht="16.5" thickBot="1" x14ac:dyDescent="0.3">
      <c r="A23" s="95" t="s">
        <v>178</v>
      </c>
      <c r="B23" s="121" t="s">
        <v>179</v>
      </c>
      <c r="C23" s="121" t="s">
        <v>163</v>
      </c>
    </row>
    <row r="24" spans="1:4" ht="16.5" thickBot="1" x14ac:dyDescent="0.3">
      <c r="A24" s="97" t="s">
        <v>164</v>
      </c>
      <c r="B24" s="98" t="s">
        <v>180</v>
      </c>
      <c r="C24" s="316">
        <f>'Custo por trabalhador'!D128</f>
        <v>181.87272727272727</v>
      </c>
    </row>
    <row r="25" spans="1:4" ht="16.5" thickBot="1" x14ac:dyDescent="0.3">
      <c r="A25" s="97" t="s">
        <v>166</v>
      </c>
      <c r="B25" s="98" t="s">
        <v>181</v>
      </c>
      <c r="C25" s="316">
        <f>'Custo por trabalhador'!D141+'Custo por trabalhador'!E154</f>
        <v>242.4969696969697</v>
      </c>
    </row>
    <row r="26" spans="1:4" ht="16.5" thickBot="1" x14ac:dyDescent="0.3">
      <c r="A26" s="158" t="s">
        <v>14</v>
      </c>
      <c r="B26" s="159"/>
      <c r="C26" s="316">
        <f>SUM(C24:C25)</f>
        <v>424.36969696969697</v>
      </c>
    </row>
    <row r="29" spans="1:4" ht="32.25" customHeight="1" x14ac:dyDescent="0.25">
      <c r="A29" s="164" t="s">
        <v>182</v>
      </c>
      <c r="B29" s="164"/>
      <c r="C29" s="164"/>
      <c r="D29" s="164"/>
    </row>
    <row r="30" spans="1:4" ht="16.5" thickBot="1" x14ac:dyDescent="0.3"/>
    <row r="31" spans="1:4" ht="16.5" thickBot="1" x14ac:dyDescent="0.3">
      <c r="A31" s="95" t="s">
        <v>183</v>
      </c>
      <c r="B31" s="121" t="s">
        <v>184</v>
      </c>
      <c r="C31" s="121" t="s">
        <v>185</v>
      </c>
      <c r="D31" s="121" t="s">
        <v>163</v>
      </c>
    </row>
    <row r="32" spans="1:4" ht="16.5" thickBot="1" x14ac:dyDescent="0.3">
      <c r="A32" s="97" t="s">
        <v>164</v>
      </c>
      <c r="B32" s="98" t="s">
        <v>186</v>
      </c>
      <c r="C32" s="99">
        <v>0.2</v>
      </c>
      <c r="D32" s="316">
        <f>(C26+C16)*C32</f>
        <v>521.36848484848485</v>
      </c>
    </row>
    <row r="33" spans="1:4" ht="16.5" thickBot="1" x14ac:dyDescent="0.3">
      <c r="A33" s="97" t="s">
        <v>166</v>
      </c>
      <c r="B33" s="98" t="s">
        <v>187</v>
      </c>
      <c r="C33" s="99">
        <v>2.5000000000000001E-2</v>
      </c>
      <c r="D33" s="316">
        <f>($C$26+$C$16)*C33</f>
        <v>65.171060606060607</v>
      </c>
    </row>
    <row r="34" spans="1:4" ht="16.5" thickBot="1" x14ac:dyDescent="0.3">
      <c r="A34" s="97" t="s">
        <v>168</v>
      </c>
      <c r="B34" s="98" t="s">
        <v>188</v>
      </c>
      <c r="C34" s="319">
        <f>'Custo por trabalhador'!B178</f>
        <v>0.03</v>
      </c>
      <c r="D34" s="316">
        <f t="shared" ref="D34:D39" si="0">($C$26+$C$16)*C34</f>
        <v>78.205272727272728</v>
      </c>
    </row>
    <row r="35" spans="1:4" ht="16.5" thickBot="1" x14ac:dyDescent="0.3">
      <c r="A35" s="97" t="s">
        <v>170</v>
      </c>
      <c r="B35" s="98" t="s">
        <v>189</v>
      </c>
      <c r="C35" s="99">
        <v>1.4999999999999999E-2</v>
      </c>
      <c r="D35" s="316">
        <f t="shared" si="0"/>
        <v>39.102636363636364</v>
      </c>
    </row>
    <row r="36" spans="1:4" ht="16.5" thickBot="1" x14ac:dyDescent="0.3">
      <c r="A36" s="97" t="s">
        <v>171</v>
      </c>
      <c r="B36" s="98" t="s">
        <v>190</v>
      </c>
      <c r="C36" s="99">
        <v>0.01</v>
      </c>
      <c r="D36" s="316">
        <f t="shared" si="0"/>
        <v>26.068424242424243</v>
      </c>
    </row>
    <row r="37" spans="1:4" ht="16.5" thickBot="1" x14ac:dyDescent="0.3">
      <c r="A37" s="97" t="s">
        <v>173</v>
      </c>
      <c r="B37" s="98" t="s">
        <v>27</v>
      </c>
      <c r="C37" s="99">
        <v>6.0000000000000001E-3</v>
      </c>
      <c r="D37" s="316">
        <f t="shared" si="0"/>
        <v>15.641054545454546</v>
      </c>
    </row>
    <row r="38" spans="1:4" ht="16.5" thickBot="1" x14ac:dyDescent="0.3">
      <c r="A38" s="97" t="s">
        <v>174</v>
      </c>
      <c r="B38" s="98" t="s">
        <v>28</v>
      </c>
      <c r="C38" s="99">
        <v>2E-3</v>
      </c>
      <c r="D38" s="316">
        <f t="shared" si="0"/>
        <v>5.2136848484848493</v>
      </c>
    </row>
    <row r="39" spans="1:4" ht="16.5" thickBot="1" x14ac:dyDescent="0.3">
      <c r="A39" s="97" t="s">
        <v>191</v>
      </c>
      <c r="B39" s="98" t="s">
        <v>29</v>
      </c>
      <c r="C39" s="99">
        <v>0.08</v>
      </c>
      <c r="D39" s="316">
        <f t="shared" si="0"/>
        <v>208.54739393939394</v>
      </c>
    </row>
    <row r="40" spans="1:4" ht="16.5" thickBot="1" x14ac:dyDescent="0.3">
      <c r="A40" s="158" t="s">
        <v>192</v>
      </c>
      <c r="B40" s="159"/>
      <c r="C40" s="99">
        <f>SUM(C32:C39)</f>
        <v>0.36800000000000005</v>
      </c>
      <c r="D40" s="316">
        <f>SUM(D32:D39)</f>
        <v>959.31801212121206</v>
      </c>
    </row>
    <row r="43" spans="1:4" x14ac:dyDescent="0.25">
      <c r="A43" s="161" t="s">
        <v>193</v>
      </c>
      <c r="B43" s="161"/>
      <c r="C43" s="161"/>
    </row>
    <row r="44" spans="1:4" ht="16.5" thickBot="1" x14ac:dyDescent="0.3"/>
    <row r="45" spans="1:4" ht="16.5" thickBot="1" x14ac:dyDescent="0.3">
      <c r="A45" s="95" t="s">
        <v>194</v>
      </c>
      <c r="B45" s="121" t="s">
        <v>195</v>
      </c>
      <c r="C45" s="121" t="s">
        <v>163</v>
      </c>
    </row>
    <row r="46" spans="1:4" ht="16.5" thickBot="1" x14ac:dyDescent="0.3">
      <c r="A46" s="97" t="s">
        <v>164</v>
      </c>
      <c r="B46" s="98" t="s">
        <v>196</v>
      </c>
      <c r="C46" s="316">
        <f>'Custo por trabalhador'!D263</f>
        <v>116.36363636363637</v>
      </c>
    </row>
    <row r="47" spans="1:4" ht="16.5" thickBot="1" x14ac:dyDescent="0.3">
      <c r="A47" s="97" t="s">
        <v>166</v>
      </c>
      <c r="B47" s="98" t="s">
        <v>197</v>
      </c>
      <c r="C47" s="316">
        <f>'Custo por trabalhador'!D303</f>
        <v>720</v>
      </c>
    </row>
    <row r="48" spans="1:4" ht="16.5" thickBot="1" x14ac:dyDescent="0.3">
      <c r="A48" s="97" t="s">
        <v>168</v>
      </c>
      <c r="B48" s="98" t="str">
        <f>'Custo por trabalhador'!D323</f>
        <v>Auxílio Saúde</v>
      </c>
      <c r="C48" s="316">
        <f>'Custo por trabalhador'!B318</f>
        <v>94.5</v>
      </c>
    </row>
    <row r="49" spans="1:3" ht="16.5" thickBot="1" x14ac:dyDescent="0.3">
      <c r="A49" s="97" t="s">
        <v>170</v>
      </c>
      <c r="B49" s="98" t="str">
        <f>'Custo por trabalhador'!E323</f>
        <v>Benefício Social Familiar</v>
      </c>
      <c r="C49" s="316">
        <f>'Custo por trabalhador'!C318</f>
        <v>31</v>
      </c>
    </row>
    <row r="50" spans="1:3" ht="16.5" thickBot="1" x14ac:dyDescent="0.3">
      <c r="A50" s="318" t="s">
        <v>171</v>
      </c>
      <c r="B50" s="98" t="str">
        <f>'Custo por trabalhador'!F323</f>
        <v>Fundo de Formação Profissional</v>
      </c>
      <c r="C50" s="316">
        <f>'Custo por trabalhador'!D318</f>
        <v>31</v>
      </c>
    </row>
    <row r="51" spans="1:3" ht="16.5" thickBot="1" x14ac:dyDescent="0.3">
      <c r="A51" s="158" t="s">
        <v>14</v>
      </c>
      <c r="B51" s="159"/>
      <c r="C51" s="316">
        <f>SUM(C46:C50)</f>
        <v>992.86363636363637</v>
      </c>
    </row>
    <row r="54" spans="1:3" x14ac:dyDescent="0.25">
      <c r="A54" s="161" t="s">
        <v>198</v>
      </c>
      <c r="B54" s="161"/>
      <c r="C54" s="161"/>
    </row>
    <row r="55" spans="1:3" ht="16.5" thickBot="1" x14ac:dyDescent="0.3"/>
    <row r="56" spans="1:3" ht="16.5" thickBot="1" x14ac:dyDescent="0.3">
      <c r="A56" s="95">
        <v>2</v>
      </c>
      <c r="B56" s="121" t="s">
        <v>199</v>
      </c>
      <c r="C56" s="121" t="s">
        <v>163</v>
      </c>
    </row>
    <row r="57" spans="1:3" ht="16.5" thickBot="1" x14ac:dyDescent="0.3">
      <c r="A57" s="97" t="s">
        <v>178</v>
      </c>
      <c r="B57" s="98" t="s">
        <v>179</v>
      </c>
      <c r="C57" s="316">
        <f>C26</f>
        <v>424.36969696969697</v>
      </c>
    </row>
    <row r="58" spans="1:3" ht="16.5" thickBot="1" x14ac:dyDescent="0.3">
      <c r="A58" s="97" t="s">
        <v>183</v>
      </c>
      <c r="B58" s="98" t="s">
        <v>184</v>
      </c>
      <c r="C58" s="316">
        <f>D40</f>
        <v>959.31801212121206</v>
      </c>
    </row>
    <row r="59" spans="1:3" ht="16.5" thickBot="1" x14ac:dyDescent="0.3">
      <c r="A59" s="97" t="s">
        <v>194</v>
      </c>
      <c r="B59" s="98" t="s">
        <v>195</v>
      </c>
      <c r="C59" s="316">
        <f>C51</f>
        <v>992.86363636363637</v>
      </c>
    </row>
    <row r="60" spans="1:3" ht="16.5" thickBot="1" x14ac:dyDescent="0.3">
      <c r="A60" s="158" t="s">
        <v>14</v>
      </c>
      <c r="B60" s="159"/>
      <c r="C60" s="316">
        <f>SUM(C57:C59)</f>
        <v>2376.5513454545453</v>
      </c>
    </row>
    <row r="61" spans="1:3" x14ac:dyDescent="0.25">
      <c r="A61" s="13"/>
    </row>
    <row r="63" spans="1:3" x14ac:dyDescent="0.25">
      <c r="A63" s="160" t="s">
        <v>200</v>
      </c>
      <c r="B63" s="160"/>
      <c r="C63" s="160"/>
    </row>
    <row r="64" spans="1:3" ht="16.5" thickBot="1" x14ac:dyDescent="0.3"/>
    <row r="65" spans="1:3" ht="16.5" thickBot="1" x14ac:dyDescent="0.3">
      <c r="A65" s="95">
        <v>3</v>
      </c>
      <c r="B65" s="121" t="s">
        <v>201</v>
      </c>
      <c r="C65" s="121" t="s">
        <v>163</v>
      </c>
    </row>
    <row r="66" spans="1:3" ht="16.5" thickBot="1" x14ac:dyDescent="0.3">
      <c r="A66" s="97" t="s">
        <v>164</v>
      </c>
      <c r="B66" s="101" t="s">
        <v>321</v>
      </c>
      <c r="C66" s="316">
        <f>'Custo por trabalhador'!D400</f>
        <v>118.50669409718184</v>
      </c>
    </row>
    <row r="67" spans="1:3" x14ac:dyDescent="0.25">
      <c r="A67" s="320" t="s">
        <v>166</v>
      </c>
      <c r="B67" s="321" t="s">
        <v>322</v>
      </c>
      <c r="C67" s="322">
        <f>'Custo por trabalhador'!D442</f>
        <v>167.4525362796667</v>
      </c>
    </row>
    <row r="68" spans="1:3" x14ac:dyDescent="0.25">
      <c r="A68" s="168" t="s">
        <v>168</v>
      </c>
      <c r="B68" s="325" t="s">
        <v>320</v>
      </c>
      <c r="C68" s="315">
        <f>'Custo por trabalhador'!D471</f>
        <v>-4.2436969696969697</v>
      </c>
    </row>
    <row r="69" spans="1:3" ht="16.5" thickBot="1" x14ac:dyDescent="0.3">
      <c r="A69" s="323" t="s">
        <v>14</v>
      </c>
      <c r="B69" s="324"/>
      <c r="C69" s="316">
        <f>SUM(C66:C68)</f>
        <v>281.71553340715161</v>
      </c>
    </row>
    <row r="72" spans="1:3" x14ac:dyDescent="0.25">
      <c r="A72" s="160" t="s">
        <v>202</v>
      </c>
      <c r="B72" s="160"/>
      <c r="C72" s="160"/>
    </row>
    <row r="75" spans="1:3" x14ac:dyDescent="0.25">
      <c r="A75" s="161" t="s">
        <v>203</v>
      </c>
      <c r="B75" s="161"/>
      <c r="C75" s="161"/>
    </row>
    <row r="76" spans="1:3" ht="16.5" thickBot="1" x14ac:dyDescent="0.3">
      <c r="A76" s="94"/>
    </row>
    <row r="77" spans="1:3" ht="16.5" thickBot="1" x14ac:dyDescent="0.3">
      <c r="A77" s="95" t="s">
        <v>204</v>
      </c>
      <c r="B77" s="121" t="s">
        <v>205</v>
      </c>
      <c r="C77" s="121" t="s">
        <v>163</v>
      </c>
    </row>
    <row r="78" spans="1:3" ht="16.5" thickBot="1" x14ac:dyDescent="0.3">
      <c r="A78" s="97" t="s">
        <v>164</v>
      </c>
      <c r="B78" s="98" t="s">
        <v>18</v>
      </c>
      <c r="C78" s="316">
        <f>'Custo por trabalhador'!G497*'Custo por trabalhador'!D539/12</f>
        <v>281.82388117905901</v>
      </c>
    </row>
    <row r="79" spans="1:3" ht="16.5" thickBot="1" x14ac:dyDescent="0.3">
      <c r="A79" s="97" t="s">
        <v>166</v>
      </c>
      <c r="B79" s="98" t="s">
        <v>205</v>
      </c>
      <c r="C79" s="316">
        <f>'Custo por trabalhador'!D539*'Custo por trabalhador'!C498/12</f>
        <v>13.446498905928957</v>
      </c>
    </row>
    <row r="80" spans="1:3" ht="16.5" thickBot="1" x14ac:dyDescent="0.3">
      <c r="A80" s="97" t="s">
        <v>168</v>
      </c>
      <c r="B80" s="98" t="s">
        <v>206</v>
      </c>
      <c r="C80" s="316">
        <f>'Custo por trabalhador'!D539*'Custo por trabalhador'!G506/12</f>
        <v>2.6867210005736961</v>
      </c>
    </row>
    <row r="81" spans="1:3" ht="16.5" thickBot="1" x14ac:dyDescent="0.3">
      <c r="A81" s="97" t="s">
        <v>170</v>
      </c>
      <c r="B81" s="98" t="s">
        <v>207</v>
      </c>
      <c r="C81" s="316">
        <f>'Custo por trabalhador'!D539*'Custo por trabalhador'!G499/12</f>
        <v>12.992080922354619</v>
      </c>
    </row>
    <row r="82" spans="1:3" ht="16.5" thickBot="1" x14ac:dyDescent="0.3">
      <c r="A82" s="97" t="s">
        <v>171</v>
      </c>
      <c r="B82" s="98" t="s">
        <v>208</v>
      </c>
      <c r="C82" s="316">
        <f>'Custo por trabalhador'!D539*'Custo por trabalhador'!G507/12</f>
        <v>33.311582755364768</v>
      </c>
    </row>
    <row r="83" spans="1:3" ht="16.5" thickBot="1" x14ac:dyDescent="0.3">
      <c r="A83" s="97" t="s">
        <v>173</v>
      </c>
      <c r="B83" s="98" t="s">
        <v>175</v>
      </c>
      <c r="C83" s="316">
        <f>'Custo por trabalhador'!E545-C78-C79-C80-C81-C82</f>
        <v>33.442434174613965</v>
      </c>
    </row>
    <row r="84" spans="1:3" ht="16.5" thickBot="1" x14ac:dyDescent="0.3">
      <c r="A84" s="158" t="s">
        <v>192</v>
      </c>
      <c r="B84" s="159"/>
      <c r="C84" s="316">
        <f>SUM(C78:C83)</f>
        <v>377.70319893789497</v>
      </c>
    </row>
    <row r="87" spans="1:3" x14ac:dyDescent="0.25">
      <c r="A87" s="161" t="s">
        <v>209</v>
      </c>
      <c r="B87" s="161"/>
      <c r="C87" s="161"/>
    </row>
    <row r="88" spans="1:3" ht="16.5" thickBot="1" x14ac:dyDescent="0.3">
      <c r="A88" s="94"/>
    </row>
    <row r="89" spans="1:3" ht="16.5" thickBot="1" x14ac:dyDescent="0.3">
      <c r="A89" s="95" t="s">
        <v>210</v>
      </c>
      <c r="B89" s="121" t="s">
        <v>211</v>
      </c>
      <c r="C89" s="121" t="s">
        <v>163</v>
      </c>
    </row>
    <row r="90" spans="1:3" ht="16.5" thickBot="1" x14ac:dyDescent="0.3">
      <c r="A90" s="97" t="s">
        <v>164</v>
      </c>
      <c r="B90" s="98" t="s">
        <v>234</v>
      </c>
      <c r="C90" s="316">
        <f>'Custo por trabalhador'!D574</f>
        <v>0</v>
      </c>
    </row>
    <row r="91" spans="1:3" ht="16.5" thickBot="1" x14ac:dyDescent="0.3">
      <c r="A91" s="158" t="s">
        <v>14</v>
      </c>
      <c r="B91" s="159"/>
      <c r="C91" s="316">
        <f>SUM(C90)</f>
        <v>0</v>
      </c>
    </row>
    <row r="94" spans="1:3" x14ac:dyDescent="0.25">
      <c r="A94" s="161" t="s">
        <v>212</v>
      </c>
      <c r="B94" s="161"/>
      <c r="C94" s="161"/>
    </row>
    <row r="95" spans="1:3" ht="16.5" thickBot="1" x14ac:dyDescent="0.3">
      <c r="A95" s="94"/>
    </row>
    <row r="96" spans="1:3" ht="16.5" thickBot="1" x14ac:dyDescent="0.3">
      <c r="A96" s="95">
        <v>4</v>
      </c>
      <c r="B96" s="121" t="s">
        <v>213</v>
      </c>
      <c r="C96" s="121" t="s">
        <v>163</v>
      </c>
    </row>
    <row r="97" spans="1:3" ht="16.5" thickBot="1" x14ac:dyDescent="0.3">
      <c r="A97" s="97" t="s">
        <v>204</v>
      </c>
      <c r="B97" s="98" t="s">
        <v>205</v>
      </c>
      <c r="C97" s="316">
        <f>C84</f>
        <v>377.70319893789497</v>
      </c>
    </row>
    <row r="98" spans="1:3" ht="16.5" thickBot="1" x14ac:dyDescent="0.3">
      <c r="A98" s="97" t="s">
        <v>210</v>
      </c>
      <c r="B98" s="98" t="s">
        <v>211</v>
      </c>
      <c r="C98" s="316">
        <f>C91</f>
        <v>0</v>
      </c>
    </row>
    <row r="99" spans="1:3" ht="16.5" thickBot="1" x14ac:dyDescent="0.3">
      <c r="A99" s="158" t="s">
        <v>14</v>
      </c>
      <c r="B99" s="159"/>
      <c r="C99" s="316">
        <f>SUM(C97:C98)</f>
        <v>377.70319893789497</v>
      </c>
    </row>
    <row r="102" spans="1:3" x14ac:dyDescent="0.25">
      <c r="A102" s="160" t="s">
        <v>214</v>
      </c>
      <c r="B102" s="160"/>
      <c r="C102" s="160"/>
    </row>
    <row r="103" spans="1:3" ht="16.5" thickBot="1" x14ac:dyDescent="0.3"/>
    <row r="104" spans="1:3" ht="16.5" thickBot="1" x14ac:dyDescent="0.3">
      <c r="A104" s="95">
        <v>5</v>
      </c>
      <c r="B104" s="102" t="s">
        <v>124</v>
      </c>
      <c r="C104" s="121" t="s">
        <v>163</v>
      </c>
    </row>
    <row r="105" spans="1:3" ht="16.5" thickBot="1" x14ac:dyDescent="0.3">
      <c r="A105" s="97" t="s">
        <v>164</v>
      </c>
      <c r="B105" s="98" t="s">
        <v>215</v>
      </c>
      <c r="C105" s="316">
        <f>'Custo por trabalhador'!C618</f>
        <v>19.797500000000003</v>
      </c>
    </row>
    <row r="106" spans="1:3" ht="16.5" thickBot="1" x14ac:dyDescent="0.3">
      <c r="A106" s="97" t="s">
        <v>166</v>
      </c>
      <c r="B106" s="98" t="s">
        <v>216</v>
      </c>
      <c r="C106" s="316">
        <v>0</v>
      </c>
    </row>
    <row r="107" spans="1:3" ht="16.5" thickBot="1" x14ac:dyDescent="0.3">
      <c r="A107" s="97" t="s">
        <v>168</v>
      </c>
      <c r="B107" s="326" t="s">
        <v>314</v>
      </c>
      <c r="C107" s="316">
        <f>'Custo por trabalhador'!D641</f>
        <v>84.307833333333335</v>
      </c>
    </row>
    <row r="108" spans="1:3" ht="16.5" thickBot="1" x14ac:dyDescent="0.3">
      <c r="A108" s="97" t="s">
        <v>170</v>
      </c>
      <c r="B108" s="98" t="s">
        <v>175</v>
      </c>
      <c r="C108" s="317">
        <v>0</v>
      </c>
    </row>
    <row r="109" spans="1:3" ht="16.5" thickBot="1" x14ac:dyDescent="0.3">
      <c r="A109" s="158" t="s">
        <v>192</v>
      </c>
      <c r="B109" s="159"/>
      <c r="C109" s="316">
        <f>SUM(C105:C108)</f>
        <v>104.10533333333333</v>
      </c>
    </row>
    <row r="112" spans="1:3" x14ac:dyDescent="0.25">
      <c r="A112" s="160" t="s">
        <v>217</v>
      </c>
      <c r="B112" s="160"/>
      <c r="C112" s="160"/>
    </row>
    <row r="113" spans="1:5" ht="16.5" thickBot="1" x14ac:dyDescent="0.3"/>
    <row r="114" spans="1:5" ht="16.5" thickBot="1" x14ac:dyDescent="0.3">
      <c r="A114" s="95">
        <v>6</v>
      </c>
      <c r="B114" s="102" t="s">
        <v>125</v>
      </c>
      <c r="C114" s="121" t="s">
        <v>185</v>
      </c>
      <c r="D114" s="121" t="s">
        <v>163</v>
      </c>
    </row>
    <row r="115" spans="1:5" ht="16.5" thickBot="1" x14ac:dyDescent="0.3">
      <c r="A115" s="97" t="s">
        <v>164</v>
      </c>
      <c r="B115" s="98" t="s">
        <v>148</v>
      </c>
      <c r="C115" s="99">
        <f>'Custo por trabalhador'!B661</f>
        <v>0.03</v>
      </c>
      <c r="D115" s="316">
        <f>'Custo por trabalhador'!B674*'H SERV GERAIS HIGI COPA 40H'!C115</f>
        <v>160.23574860949105</v>
      </c>
    </row>
    <row r="116" spans="1:5" ht="16.5" thickBot="1" x14ac:dyDescent="0.3">
      <c r="A116" s="97" t="s">
        <v>166</v>
      </c>
      <c r="B116" s="98" t="s">
        <v>150</v>
      </c>
      <c r="C116" s="99">
        <f>'Custo por trabalhador'!B663</f>
        <v>6.7900000000000002E-2</v>
      </c>
      <c r="D116" s="316">
        <f>'Custo por trabalhador'!I697*'Custo por trabalhador'!B663</f>
        <v>426.61822561679514</v>
      </c>
    </row>
    <row r="117" spans="1:5" ht="16.5" thickBot="1" x14ac:dyDescent="0.3">
      <c r="A117" s="97" t="s">
        <v>168</v>
      </c>
      <c r="B117" s="98" t="s">
        <v>149</v>
      </c>
      <c r="C117" s="99">
        <f>'Custo por trabalhador'!B662</f>
        <v>5.6500000000000002E-2</v>
      </c>
      <c r="D117" s="316">
        <f>'Custo por trabalhador'!I697*'H SERV GERAIS HIGI COPA 40H'!C117</f>
        <v>354.99160158098567</v>
      </c>
    </row>
    <row r="118" spans="1:5" ht="16.5" thickBot="1" x14ac:dyDescent="0.3">
      <c r="A118" s="97"/>
      <c r="B118" s="98" t="s">
        <v>324</v>
      </c>
      <c r="C118" s="331">
        <v>6.4999999999999997E-3</v>
      </c>
      <c r="D118" s="329">
        <f>'Custo por trabalhador'!I697*0.65%</f>
        <v>40.839741774803663</v>
      </c>
    </row>
    <row r="119" spans="1:5" ht="16.5" thickBot="1" x14ac:dyDescent="0.3">
      <c r="A119" s="97"/>
      <c r="B119" s="98" t="s">
        <v>325</v>
      </c>
      <c r="C119" s="327">
        <v>0.03</v>
      </c>
      <c r="D119" s="329">
        <f>'Custo por trabalhador'!I697*3%</f>
        <v>188.49111588370917</v>
      </c>
    </row>
    <row r="120" spans="1:5" ht="16.5" thickBot="1" x14ac:dyDescent="0.3">
      <c r="A120" s="97"/>
      <c r="B120" s="98" t="s">
        <v>323</v>
      </c>
      <c r="C120" s="327">
        <v>0.02</v>
      </c>
      <c r="D120" s="329">
        <f>'Custo por trabalhador'!I697*2%</f>
        <v>125.66074392247279</v>
      </c>
      <c r="E120" s="328"/>
    </row>
    <row r="121" spans="1:5" ht="16.5" thickBot="1" x14ac:dyDescent="0.3">
      <c r="A121" s="158" t="s">
        <v>192</v>
      </c>
      <c r="B121" s="159"/>
      <c r="C121" s="327"/>
      <c r="D121" s="316">
        <f>SUM(D115:D117)</f>
        <v>941.84557580727187</v>
      </c>
    </row>
    <row r="124" spans="1:5" x14ac:dyDescent="0.25">
      <c r="A124" s="160" t="s">
        <v>218</v>
      </c>
      <c r="B124" s="160"/>
      <c r="C124" s="160"/>
    </row>
    <row r="125" spans="1:5" ht="16.5" thickBot="1" x14ac:dyDescent="0.3"/>
    <row r="126" spans="1:5" ht="16.5" thickBot="1" x14ac:dyDescent="0.3">
      <c r="A126" s="95"/>
      <c r="B126" s="121" t="s">
        <v>219</v>
      </c>
      <c r="C126" s="121" t="s">
        <v>163</v>
      </c>
    </row>
    <row r="127" spans="1:5" ht="16.5" thickBot="1" x14ac:dyDescent="0.3">
      <c r="A127" s="104" t="s">
        <v>164</v>
      </c>
      <c r="B127" s="98" t="s">
        <v>161</v>
      </c>
      <c r="C127" s="330">
        <f>C16</f>
        <v>2182.4727272727273</v>
      </c>
    </row>
    <row r="128" spans="1:5" ht="16.5" thickBot="1" x14ac:dyDescent="0.3">
      <c r="A128" s="104" t="s">
        <v>166</v>
      </c>
      <c r="B128" s="98" t="s">
        <v>176</v>
      </c>
      <c r="C128" s="330">
        <f>C60</f>
        <v>2376.5513454545453</v>
      </c>
    </row>
    <row r="129" spans="1:3" ht="16.5" thickBot="1" x14ac:dyDescent="0.3">
      <c r="A129" s="104" t="s">
        <v>168</v>
      </c>
      <c r="B129" s="98" t="s">
        <v>200</v>
      </c>
      <c r="C129" s="330">
        <f>C69</f>
        <v>281.71553340715161</v>
      </c>
    </row>
    <row r="130" spans="1:3" ht="16.5" thickBot="1" x14ac:dyDescent="0.3">
      <c r="A130" s="104" t="s">
        <v>170</v>
      </c>
      <c r="B130" s="98" t="s">
        <v>202</v>
      </c>
      <c r="C130" s="330">
        <f>C99</f>
        <v>377.70319893789497</v>
      </c>
    </row>
    <row r="131" spans="1:3" ht="16.5" thickBot="1" x14ac:dyDescent="0.3">
      <c r="A131" s="104" t="s">
        <v>171</v>
      </c>
      <c r="B131" s="98" t="s">
        <v>214</v>
      </c>
      <c r="C131" s="330">
        <f>C109</f>
        <v>104.10533333333333</v>
      </c>
    </row>
    <row r="132" spans="1:3" ht="16.5" thickBot="1" x14ac:dyDescent="0.3">
      <c r="A132" s="158" t="s">
        <v>220</v>
      </c>
      <c r="B132" s="159"/>
      <c r="C132" s="330">
        <f>SUM(C127:C131)</f>
        <v>5322.5481384056511</v>
      </c>
    </row>
    <row r="133" spans="1:3" ht="16.5" thickBot="1" x14ac:dyDescent="0.3">
      <c r="A133" s="104" t="s">
        <v>173</v>
      </c>
      <c r="B133" s="98" t="s">
        <v>221</v>
      </c>
      <c r="C133" s="330">
        <f>D121</f>
        <v>941.84557580727187</v>
      </c>
    </row>
    <row r="134" spans="1:3" ht="16.5" thickBot="1" x14ac:dyDescent="0.3">
      <c r="A134" s="158" t="s">
        <v>222</v>
      </c>
      <c r="B134" s="159"/>
      <c r="C134" s="330">
        <f>C132+C133</f>
        <v>6264.3937142129234</v>
      </c>
    </row>
  </sheetData>
  <mergeCells count="30">
    <mergeCell ref="A109:B109"/>
    <mergeCell ref="A112:C112"/>
    <mergeCell ref="A121:B121"/>
    <mergeCell ref="A124:C124"/>
    <mergeCell ref="A132:B132"/>
    <mergeCell ref="A134:B134"/>
    <mergeCell ref="A84:B84"/>
    <mergeCell ref="A87:C87"/>
    <mergeCell ref="A91:B91"/>
    <mergeCell ref="A94:C94"/>
    <mergeCell ref="A99:B99"/>
    <mergeCell ref="A102:C102"/>
    <mergeCell ref="A54:C54"/>
    <mergeCell ref="A60:B60"/>
    <mergeCell ref="A63:C63"/>
    <mergeCell ref="A69:B69"/>
    <mergeCell ref="A72:C72"/>
    <mergeCell ref="A75:C75"/>
    <mergeCell ref="A21:C21"/>
    <mergeCell ref="A26:B26"/>
    <mergeCell ref="A29:D29"/>
    <mergeCell ref="A40:B40"/>
    <mergeCell ref="A43:C43"/>
    <mergeCell ref="A51:B51"/>
    <mergeCell ref="A1:D1"/>
    <mergeCell ref="A2:D2"/>
    <mergeCell ref="A3:D3"/>
    <mergeCell ref="A6:C6"/>
    <mergeCell ref="A16:B16"/>
    <mergeCell ref="A19:C19"/>
  </mergeCells>
  <pageMargins left="0.511811024" right="0.511811024" top="0.78740157499999996" bottom="0.78740157499999996" header="0.31496062000000002" footer="0.31496062000000002"/>
  <pageSetup paperSize="9" scale="81"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
  <sheetViews>
    <sheetView showGridLines="0" zoomScale="115" zoomScaleNormal="115" workbookViewId="0">
      <selection activeCell="C25" sqref="C25"/>
    </sheetView>
  </sheetViews>
  <sheetFormatPr defaultRowHeight="15.75" x14ac:dyDescent="0.25"/>
  <cols>
    <col min="1" max="1" width="9.140625" style="103"/>
    <col min="2" max="2" width="72.140625" style="103" customWidth="1"/>
    <col min="3" max="3" width="18" style="103" customWidth="1"/>
    <col min="4" max="4" width="14.28515625" style="103" customWidth="1"/>
    <col min="5" max="5" width="12.7109375" style="103" customWidth="1"/>
    <col min="6" max="6" width="12" style="103" customWidth="1"/>
    <col min="7" max="7" width="15.140625" style="103" customWidth="1"/>
    <col min="8" max="16384" width="9.140625" style="103"/>
  </cols>
  <sheetData>
    <row r="1" spans="1:4" ht="23.25" x14ac:dyDescent="0.35">
      <c r="A1" s="139" t="s">
        <v>223</v>
      </c>
      <c r="B1" s="139"/>
      <c r="C1" s="139"/>
      <c r="D1" s="139"/>
    </row>
    <row r="2" spans="1:4" ht="23.25" x14ac:dyDescent="0.35">
      <c r="A2" s="139" t="s">
        <v>225</v>
      </c>
      <c r="B2" s="139"/>
      <c r="C2" s="139"/>
      <c r="D2" s="139"/>
    </row>
    <row r="3" spans="1:4" x14ac:dyDescent="0.25">
      <c r="A3" s="163" t="s">
        <v>233</v>
      </c>
      <c r="B3" s="163"/>
      <c r="C3" s="163"/>
      <c r="D3" s="163"/>
    </row>
    <row r="6" spans="1:4" x14ac:dyDescent="0.25">
      <c r="A6" s="162" t="s">
        <v>161</v>
      </c>
      <c r="B6" s="162"/>
      <c r="C6" s="162"/>
    </row>
    <row r="7" spans="1:4" ht="16.5" thickBot="1" x14ac:dyDescent="0.3"/>
    <row r="8" spans="1:4" ht="16.5" thickBot="1" x14ac:dyDescent="0.3">
      <c r="A8" s="95">
        <v>1</v>
      </c>
      <c r="B8" s="121" t="s">
        <v>162</v>
      </c>
      <c r="C8" s="121" t="s">
        <v>163</v>
      </c>
    </row>
    <row r="9" spans="1:4" ht="16.5" thickBot="1" x14ac:dyDescent="0.3">
      <c r="A9" s="97" t="s">
        <v>164</v>
      </c>
      <c r="B9" s="98" t="s">
        <v>165</v>
      </c>
      <c r="C9" s="317">
        <f>'Custo por trabalhador'!B20</f>
        <v>3023</v>
      </c>
    </row>
    <row r="10" spans="1:4" ht="16.5" thickBot="1" x14ac:dyDescent="0.3">
      <c r="A10" s="97" t="s">
        <v>166</v>
      </c>
      <c r="B10" s="98" t="s">
        <v>167</v>
      </c>
      <c r="C10" s="317">
        <v>0</v>
      </c>
    </row>
    <row r="11" spans="1:4" ht="16.5" thickBot="1" x14ac:dyDescent="0.3">
      <c r="A11" s="97" t="s">
        <v>168</v>
      </c>
      <c r="B11" s="98" t="s">
        <v>169</v>
      </c>
      <c r="C11" s="317">
        <f>'Custo por trabalhador'!D52</f>
        <v>324.20000000000005</v>
      </c>
    </row>
    <row r="12" spans="1:4" ht="16.5" thickBot="1" x14ac:dyDescent="0.3">
      <c r="A12" s="97" t="s">
        <v>170</v>
      </c>
      <c r="B12" s="98" t="s">
        <v>11</v>
      </c>
      <c r="C12" s="317">
        <f>'Custo por trabalhador'!E61</f>
        <v>0</v>
      </c>
    </row>
    <row r="13" spans="1:4" ht="16.5" thickBot="1" x14ac:dyDescent="0.3">
      <c r="A13" s="97" t="s">
        <v>171</v>
      </c>
      <c r="B13" s="98" t="s">
        <v>172</v>
      </c>
      <c r="C13" s="317">
        <f>'Custo por trabalhador'!E75</f>
        <v>0</v>
      </c>
    </row>
    <row r="14" spans="1:4" ht="16.5" thickBot="1" x14ac:dyDescent="0.3">
      <c r="A14" s="97"/>
      <c r="B14" s="98"/>
      <c r="C14" s="317"/>
    </row>
    <row r="15" spans="1:4" ht="16.5" thickBot="1" x14ac:dyDescent="0.3">
      <c r="A15" s="97" t="s">
        <v>174</v>
      </c>
      <c r="B15" s="98" t="s">
        <v>175</v>
      </c>
      <c r="C15" s="317">
        <f>'Custo por trabalhador'!D28</f>
        <v>0</v>
      </c>
    </row>
    <row r="16" spans="1:4" ht="16.5" thickBot="1" x14ac:dyDescent="0.3">
      <c r="A16" s="158" t="s">
        <v>14</v>
      </c>
      <c r="B16" s="159"/>
      <c r="C16" s="317">
        <f>SUM(C9:C15)</f>
        <v>3347.2</v>
      </c>
    </row>
    <row r="19" spans="1:4" x14ac:dyDescent="0.25">
      <c r="A19" s="160" t="s">
        <v>176</v>
      </c>
      <c r="B19" s="160"/>
      <c r="C19" s="160"/>
    </row>
    <row r="20" spans="1:4" x14ac:dyDescent="0.25">
      <c r="A20" s="94"/>
    </row>
    <row r="21" spans="1:4" x14ac:dyDescent="0.25">
      <c r="A21" s="161" t="s">
        <v>177</v>
      </c>
      <c r="B21" s="161"/>
      <c r="C21" s="161"/>
    </row>
    <row r="22" spans="1:4" ht="16.5" thickBot="1" x14ac:dyDescent="0.3"/>
    <row r="23" spans="1:4" ht="16.5" thickBot="1" x14ac:dyDescent="0.3">
      <c r="A23" s="95" t="s">
        <v>178</v>
      </c>
      <c r="B23" s="121" t="s">
        <v>179</v>
      </c>
      <c r="C23" s="121" t="s">
        <v>163</v>
      </c>
    </row>
    <row r="24" spans="1:4" ht="16.5" thickBot="1" x14ac:dyDescent="0.3">
      <c r="A24" s="97" t="s">
        <v>164</v>
      </c>
      <c r="B24" s="98" t="s">
        <v>180</v>
      </c>
      <c r="C24" s="316">
        <f>'Custo por trabalhador'!D129</f>
        <v>278.93333333333328</v>
      </c>
    </row>
    <row r="25" spans="1:4" ht="16.5" thickBot="1" x14ac:dyDescent="0.3">
      <c r="A25" s="97" t="s">
        <v>166</v>
      </c>
      <c r="B25" s="98" t="s">
        <v>181</v>
      </c>
      <c r="C25" s="316">
        <f>'Custo por trabalhador'!D142+'Custo por trabalhador'!E155</f>
        <v>371.91111111111104</v>
      </c>
    </row>
    <row r="26" spans="1:4" ht="16.5" thickBot="1" x14ac:dyDescent="0.3">
      <c r="A26" s="158" t="s">
        <v>14</v>
      </c>
      <c r="B26" s="159"/>
      <c r="C26" s="316">
        <f>SUM(C24:C25)</f>
        <v>650.84444444444432</v>
      </c>
    </row>
    <row r="29" spans="1:4" ht="32.25" customHeight="1" x14ac:dyDescent="0.25">
      <c r="A29" s="164" t="s">
        <v>182</v>
      </c>
      <c r="B29" s="164"/>
      <c r="C29" s="164"/>
      <c r="D29" s="164"/>
    </row>
    <row r="30" spans="1:4" ht="16.5" thickBot="1" x14ac:dyDescent="0.3"/>
    <row r="31" spans="1:4" ht="16.5" thickBot="1" x14ac:dyDescent="0.3">
      <c r="A31" s="95" t="s">
        <v>183</v>
      </c>
      <c r="B31" s="121" t="s">
        <v>184</v>
      </c>
      <c r="C31" s="121" t="s">
        <v>185</v>
      </c>
      <c r="D31" s="121" t="s">
        <v>163</v>
      </c>
    </row>
    <row r="32" spans="1:4" ht="16.5" thickBot="1" x14ac:dyDescent="0.3">
      <c r="A32" s="97" t="s">
        <v>164</v>
      </c>
      <c r="B32" s="98" t="s">
        <v>186</v>
      </c>
      <c r="C32" s="99">
        <v>0.2</v>
      </c>
      <c r="D32" s="316">
        <f>(C26+C16)*C32</f>
        <v>799.60888888888894</v>
      </c>
    </row>
    <row r="33" spans="1:4" ht="16.5" thickBot="1" x14ac:dyDescent="0.3">
      <c r="A33" s="97" t="s">
        <v>166</v>
      </c>
      <c r="B33" s="98" t="s">
        <v>187</v>
      </c>
      <c r="C33" s="99">
        <v>2.5000000000000001E-2</v>
      </c>
      <c r="D33" s="316">
        <f>($C$26+$C$16)*C33</f>
        <v>99.951111111111118</v>
      </c>
    </row>
    <row r="34" spans="1:4" ht="16.5" thickBot="1" x14ac:dyDescent="0.3">
      <c r="A34" s="97" t="s">
        <v>168</v>
      </c>
      <c r="B34" s="98" t="s">
        <v>188</v>
      </c>
      <c r="C34" s="319">
        <f>'Custo por trabalhador'!B178</f>
        <v>0.03</v>
      </c>
      <c r="D34" s="316">
        <f t="shared" ref="D34:D39" si="0">($C$26+$C$16)*C34</f>
        <v>119.94133333333332</v>
      </c>
    </row>
    <row r="35" spans="1:4" ht="16.5" thickBot="1" x14ac:dyDescent="0.3">
      <c r="A35" s="97" t="s">
        <v>170</v>
      </c>
      <c r="B35" s="98" t="s">
        <v>189</v>
      </c>
      <c r="C35" s="99">
        <v>1.4999999999999999E-2</v>
      </c>
      <c r="D35" s="316">
        <f t="shared" si="0"/>
        <v>59.970666666666659</v>
      </c>
    </row>
    <row r="36" spans="1:4" ht="16.5" thickBot="1" x14ac:dyDescent="0.3">
      <c r="A36" s="97" t="s">
        <v>171</v>
      </c>
      <c r="B36" s="98" t="s">
        <v>190</v>
      </c>
      <c r="C36" s="99">
        <v>0.01</v>
      </c>
      <c r="D36" s="316">
        <f t="shared" si="0"/>
        <v>39.980444444444444</v>
      </c>
    </row>
    <row r="37" spans="1:4" ht="16.5" thickBot="1" x14ac:dyDescent="0.3">
      <c r="A37" s="97" t="s">
        <v>173</v>
      </c>
      <c r="B37" s="98" t="s">
        <v>27</v>
      </c>
      <c r="C37" s="99">
        <v>6.0000000000000001E-3</v>
      </c>
      <c r="D37" s="316">
        <f t="shared" si="0"/>
        <v>23.988266666666664</v>
      </c>
    </row>
    <row r="38" spans="1:4" ht="16.5" thickBot="1" x14ac:dyDescent="0.3">
      <c r="A38" s="97" t="s">
        <v>174</v>
      </c>
      <c r="B38" s="98" t="s">
        <v>28</v>
      </c>
      <c r="C38" s="99">
        <v>2E-3</v>
      </c>
      <c r="D38" s="316">
        <f t="shared" si="0"/>
        <v>7.996088888888889</v>
      </c>
    </row>
    <row r="39" spans="1:4" ht="16.5" thickBot="1" x14ac:dyDescent="0.3">
      <c r="A39" s="97" t="s">
        <v>191</v>
      </c>
      <c r="B39" s="98" t="s">
        <v>29</v>
      </c>
      <c r="C39" s="99">
        <v>0.08</v>
      </c>
      <c r="D39" s="316">
        <f t="shared" si="0"/>
        <v>319.84355555555555</v>
      </c>
    </row>
    <row r="40" spans="1:4" ht="16.5" thickBot="1" x14ac:dyDescent="0.3">
      <c r="A40" s="158" t="s">
        <v>192</v>
      </c>
      <c r="B40" s="159"/>
      <c r="C40" s="99">
        <f>SUM(C32:C39)</f>
        <v>0.36800000000000005</v>
      </c>
      <c r="D40" s="316">
        <f>SUM(D32:D39)</f>
        <v>1471.2803555555556</v>
      </c>
    </row>
    <row r="43" spans="1:4" x14ac:dyDescent="0.25">
      <c r="A43" s="161" t="s">
        <v>193</v>
      </c>
      <c r="B43" s="161"/>
      <c r="C43" s="161"/>
    </row>
    <row r="44" spans="1:4" ht="16.5" thickBot="1" x14ac:dyDescent="0.3"/>
    <row r="45" spans="1:4" ht="16.5" thickBot="1" x14ac:dyDescent="0.3">
      <c r="A45" s="95" t="s">
        <v>194</v>
      </c>
      <c r="B45" s="121" t="s">
        <v>195</v>
      </c>
      <c r="C45" s="121" t="s">
        <v>163</v>
      </c>
    </row>
    <row r="46" spans="1:4" ht="16.5" thickBot="1" x14ac:dyDescent="0.3">
      <c r="A46" s="97" t="s">
        <v>164</v>
      </c>
      <c r="B46" s="98" t="s">
        <v>196</v>
      </c>
      <c r="C46" s="316">
        <f>'Custo por trabalhador'!D264</f>
        <v>38.620000000000005</v>
      </c>
    </row>
    <row r="47" spans="1:4" ht="16.5" thickBot="1" x14ac:dyDescent="0.3">
      <c r="A47" s="97" t="s">
        <v>166</v>
      </c>
      <c r="B47" s="98" t="s">
        <v>197</v>
      </c>
      <c r="C47" s="316">
        <f>'Custo por trabalhador'!D304</f>
        <v>720</v>
      </c>
    </row>
    <row r="48" spans="1:4" ht="16.5" thickBot="1" x14ac:dyDescent="0.3">
      <c r="A48" s="97" t="s">
        <v>168</v>
      </c>
      <c r="B48" s="98" t="str">
        <f>'Custo por trabalhador'!D323</f>
        <v>Auxílio Saúde</v>
      </c>
      <c r="C48" s="316">
        <f>'Custo por trabalhador'!B319</f>
        <v>94.5</v>
      </c>
    </row>
    <row r="49" spans="1:3" ht="16.5" thickBot="1" x14ac:dyDescent="0.3">
      <c r="A49" s="97" t="s">
        <v>170</v>
      </c>
      <c r="B49" s="98" t="str">
        <f>'Custo por trabalhador'!E323</f>
        <v>Benefício Social Familiar</v>
      </c>
      <c r="C49" s="316">
        <f>'Custo por trabalhador'!C319</f>
        <v>31</v>
      </c>
    </row>
    <row r="50" spans="1:3" ht="16.5" thickBot="1" x14ac:dyDescent="0.3">
      <c r="A50" s="318" t="s">
        <v>171</v>
      </c>
      <c r="B50" s="98" t="str">
        <f>'Custo por trabalhador'!F323</f>
        <v>Fundo de Formação Profissional</v>
      </c>
      <c r="C50" s="316">
        <f>'Custo por trabalhador'!D319</f>
        <v>31</v>
      </c>
    </row>
    <row r="51" spans="1:3" ht="16.5" thickBot="1" x14ac:dyDescent="0.3">
      <c r="A51" s="158" t="s">
        <v>14</v>
      </c>
      <c r="B51" s="159"/>
      <c r="C51" s="316">
        <f>SUM(C46:C50)</f>
        <v>915.12</v>
      </c>
    </row>
    <row r="54" spans="1:3" x14ac:dyDescent="0.25">
      <c r="A54" s="161" t="s">
        <v>198</v>
      </c>
      <c r="B54" s="161"/>
      <c r="C54" s="161"/>
    </row>
    <row r="55" spans="1:3" ht="16.5" thickBot="1" x14ac:dyDescent="0.3"/>
    <row r="56" spans="1:3" ht="16.5" thickBot="1" x14ac:dyDescent="0.3">
      <c r="A56" s="95">
        <v>2</v>
      </c>
      <c r="B56" s="121" t="s">
        <v>199</v>
      </c>
      <c r="C56" s="121" t="s">
        <v>163</v>
      </c>
    </row>
    <row r="57" spans="1:3" ht="16.5" thickBot="1" x14ac:dyDescent="0.3">
      <c r="A57" s="97" t="s">
        <v>178</v>
      </c>
      <c r="B57" s="98" t="s">
        <v>179</v>
      </c>
      <c r="C57" s="316">
        <f>C26</f>
        <v>650.84444444444432</v>
      </c>
    </row>
    <row r="58" spans="1:3" ht="16.5" thickBot="1" x14ac:dyDescent="0.3">
      <c r="A58" s="97" t="s">
        <v>183</v>
      </c>
      <c r="B58" s="98" t="s">
        <v>184</v>
      </c>
      <c r="C58" s="316">
        <f>D40</f>
        <v>1471.2803555555556</v>
      </c>
    </row>
    <row r="59" spans="1:3" ht="16.5" thickBot="1" x14ac:dyDescent="0.3">
      <c r="A59" s="97" t="s">
        <v>194</v>
      </c>
      <c r="B59" s="98" t="s">
        <v>195</v>
      </c>
      <c r="C59" s="316">
        <f>C51</f>
        <v>915.12</v>
      </c>
    </row>
    <row r="60" spans="1:3" ht="16.5" thickBot="1" x14ac:dyDescent="0.3">
      <c r="A60" s="158" t="s">
        <v>14</v>
      </c>
      <c r="B60" s="159"/>
      <c r="C60" s="316">
        <f>SUM(C57:C59)</f>
        <v>3037.2447999999999</v>
      </c>
    </row>
    <row r="61" spans="1:3" x14ac:dyDescent="0.25">
      <c r="A61" s="13"/>
    </row>
    <row r="63" spans="1:3" x14ac:dyDescent="0.25">
      <c r="A63" s="160" t="s">
        <v>200</v>
      </c>
      <c r="B63" s="160"/>
      <c r="C63" s="160"/>
    </row>
    <row r="64" spans="1:3" ht="16.5" thickBot="1" x14ac:dyDescent="0.3"/>
    <row r="65" spans="1:3" ht="16.5" thickBot="1" x14ac:dyDescent="0.3">
      <c r="A65" s="95">
        <v>3</v>
      </c>
      <c r="B65" s="121" t="s">
        <v>201</v>
      </c>
      <c r="C65" s="121" t="s">
        <v>163</v>
      </c>
    </row>
    <row r="66" spans="1:3" ht="16.5" thickBot="1" x14ac:dyDescent="0.3">
      <c r="A66" s="97" t="s">
        <v>164</v>
      </c>
      <c r="B66" s="101" t="s">
        <v>321</v>
      </c>
      <c r="C66" s="316">
        <f>'Custo por trabalhador'!D401</f>
        <v>166.77831444400002</v>
      </c>
    </row>
    <row r="67" spans="1:3" x14ac:dyDescent="0.25">
      <c r="A67" s="320" t="s">
        <v>166</v>
      </c>
      <c r="B67" s="321" t="s">
        <v>322</v>
      </c>
      <c r="C67" s="322">
        <f>'Custo por trabalhador'!D443</f>
        <v>238.51808015688891</v>
      </c>
    </row>
    <row r="68" spans="1:3" x14ac:dyDescent="0.25">
      <c r="A68" s="168" t="s">
        <v>168</v>
      </c>
      <c r="B68" s="325" t="s">
        <v>320</v>
      </c>
      <c r="C68" s="315">
        <f>'Custo por trabalhador'!D472</f>
        <v>-6.5084444444444429</v>
      </c>
    </row>
    <row r="69" spans="1:3" ht="16.5" thickBot="1" x14ac:dyDescent="0.3">
      <c r="A69" s="323" t="s">
        <v>14</v>
      </c>
      <c r="B69" s="324"/>
      <c r="C69" s="316">
        <f>SUM(C66:C68)</f>
        <v>398.78795015644448</v>
      </c>
    </row>
    <row r="72" spans="1:3" x14ac:dyDescent="0.25">
      <c r="A72" s="160" t="s">
        <v>202</v>
      </c>
      <c r="B72" s="160"/>
      <c r="C72" s="160"/>
    </row>
    <row r="75" spans="1:3" x14ac:dyDescent="0.25">
      <c r="A75" s="161" t="s">
        <v>203</v>
      </c>
      <c r="B75" s="161"/>
      <c r="C75" s="161"/>
    </row>
    <row r="76" spans="1:3" ht="16.5" thickBot="1" x14ac:dyDescent="0.3">
      <c r="A76" s="94"/>
    </row>
    <row r="77" spans="1:3" ht="16.5" thickBot="1" x14ac:dyDescent="0.3">
      <c r="A77" s="95" t="s">
        <v>204</v>
      </c>
      <c r="B77" s="121" t="s">
        <v>205</v>
      </c>
      <c r="C77" s="121" t="s">
        <v>163</v>
      </c>
    </row>
    <row r="78" spans="1:3" ht="16.5" thickBot="1" x14ac:dyDescent="0.3">
      <c r="A78" s="97" t="s">
        <v>164</v>
      </c>
      <c r="B78" s="98" t="s">
        <v>18</v>
      </c>
      <c r="C78" s="316">
        <f>'Custo por trabalhador'!G497*'Custo por trabalhador'!D540/12</f>
        <v>394.91423545431354</v>
      </c>
    </row>
    <row r="79" spans="1:3" ht="16.5" thickBot="1" x14ac:dyDescent="0.3">
      <c r="A79" s="97" t="s">
        <v>166</v>
      </c>
      <c r="B79" s="98" t="s">
        <v>205</v>
      </c>
      <c r="C79" s="316">
        <f>'Custo por trabalhador'!D540*'Custo por trabalhador'!C498/12</f>
        <v>18.842313194879011</v>
      </c>
    </row>
    <row r="80" spans="1:3" ht="16.5" thickBot="1" x14ac:dyDescent="0.3">
      <c r="A80" s="97" t="s">
        <v>168</v>
      </c>
      <c r="B80" s="98" t="s">
        <v>206</v>
      </c>
      <c r="C80" s="316">
        <f>'Custo por trabalhador'!D540*'Custo por trabalhador'!G506/12</f>
        <v>3.7648490446644565</v>
      </c>
    </row>
    <row r="81" spans="1:3" ht="16.5" thickBot="1" x14ac:dyDescent="0.3">
      <c r="A81" s="97" t="s">
        <v>170</v>
      </c>
      <c r="B81" s="98" t="s">
        <v>207</v>
      </c>
      <c r="C81" s="316">
        <f>'Custo por trabalhador'!D540*'Custo por trabalhador'!G499/12</f>
        <v>18.205546254443856</v>
      </c>
    </row>
    <row r="82" spans="1:3" ht="16.5" thickBot="1" x14ac:dyDescent="0.3">
      <c r="A82" s="97" t="s">
        <v>171</v>
      </c>
      <c r="B82" s="98" t="s">
        <v>208</v>
      </c>
      <c r="C82" s="316">
        <f>'Custo por trabalhador'!D540*'Custo por trabalhador'!G507/12</f>
        <v>46.678862630699854</v>
      </c>
    </row>
    <row r="83" spans="1:3" ht="16.5" thickBot="1" x14ac:dyDescent="0.3">
      <c r="A83" s="97" t="s">
        <v>173</v>
      </c>
      <c r="B83" s="98" t="s">
        <v>175</v>
      </c>
      <c r="C83" s="316">
        <f>'Custo por trabalhador'!E545-C78-C79-C80-C81-C82</f>
        <v>-104.7026076411057</v>
      </c>
    </row>
    <row r="84" spans="1:3" ht="16.5" thickBot="1" x14ac:dyDescent="0.3">
      <c r="A84" s="158" t="s">
        <v>192</v>
      </c>
      <c r="B84" s="159"/>
      <c r="C84" s="316">
        <f>SUM(C78:C83)</f>
        <v>377.70319893789497</v>
      </c>
    </row>
    <row r="87" spans="1:3" x14ac:dyDescent="0.25">
      <c r="A87" s="161" t="s">
        <v>209</v>
      </c>
      <c r="B87" s="161"/>
      <c r="C87" s="161"/>
    </row>
    <row r="88" spans="1:3" ht="16.5" thickBot="1" x14ac:dyDescent="0.3">
      <c r="A88" s="94"/>
    </row>
    <row r="89" spans="1:3" ht="16.5" thickBot="1" x14ac:dyDescent="0.3">
      <c r="A89" s="95" t="s">
        <v>210</v>
      </c>
      <c r="B89" s="121" t="s">
        <v>211</v>
      </c>
      <c r="C89" s="121" t="s">
        <v>163</v>
      </c>
    </row>
    <row r="90" spans="1:3" ht="16.5" thickBot="1" x14ac:dyDescent="0.3">
      <c r="A90" s="97" t="s">
        <v>164</v>
      </c>
      <c r="B90" s="98" t="s">
        <v>234</v>
      </c>
      <c r="C90" s="316">
        <f>'Custo por trabalhador'!D574</f>
        <v>0</v>
      </c>
    </row>
    <row r="91" spans="1:3" ht="16.5" thickBot="1" x14ac:dyDescent="0.3">
      <c r="A91" s="158" t="s">
        <v>14</v>
      </c>
      <c r="B91" s="159"/>
      <c r="C91" s="316">
        <f>SUM(C90)</f>
        <v>0</v>
      </c>
    </row>
    <row r="94" spans="1:3" x14ac:dyDescent="0.25">
      <c r="A94" s="161" t="s">
        <v>212</v>
      </c>
      <c r="B94" s="161"/>
      <c r="C94" s="161"/>
    </row>
    <row r="95" spans="1:3" ht="16.5" thickBot="1" x14ac:dyDescent="0.3">
      <c r="A95" s="94"/>
    </row>
    <row r="96" spans="1:3" ht="16.5" thickBot="1" x14ac:dyDescent="0.3">
      <c r="A96" s="95">
        <v>4</v>
      </c>
      <c r="B96" s="121" t="s">
        <v>213</v>
      </c>
      <c r="C96" s="121" t="s">
        <v>163</v>
      </c>
    </row>
    <row r="97" spans="1:3" ht="16.5" thickBot="1" x14ac:dyDescent="0.3">
      <c r="A97" s="97" t="s">
        <v>204</v>
      </c>
      <c r="B97" s="98" t="s">
        <v>205</v>
      </c>
      <c r="C97" s="316">
        <f>C84</f>
        <v>377.70319893789497</v>
      </c>
    </row>
    <row r="98" spans="1:3" ht="16.5" thickBot="1" x14ac:dyDescent="0.3">
      <c r="A98" s="97" t="s">
        <v>210</v>
      </c>
      <c r="B98" s="98" t="s">
        <v>211</v>
      </c>
      <c r="C98" s="316">
        <f>C91</f>
        <v>0</v>
      </c>
    </row>
    <row r="99" spans="1:3" ht="16.5" thickBot="1" x14ac:dyDescent="0.3">
      <c r="A99" s="158" t="s">
        <v>14</v>
      </c>
      <c r="B99" s="159"/>
      <c r="C99" s="316">
        <f>SUM(C97:C98)</f>
        <v>377.70319893789497</v>
      </c>
    </row>
    <row r="102" spans="1:3" x14ac:dyDescent="0.25">
      <c r="A102" s="160" t="s">
        <v>214</v>
      </c>
      <c r="B102" s="160"/>
      <c r="C102" s="160"/>
    </row>
    <row r="103" spans="1:3" ht="16.5" thickBot="1" x14ac:dyDescent="0.3"/>
    <row r="104" spans="1:3" ht="16.5" thickBot="1" x14ac:dyDescent="0.3">
      <c r="A104" s="95">
        <v>5</v>
      </c>
      <c r="B104" s="102" t="s">
        <v>124</v>
      </c>
      <c r="C104" s="121" t="s">
        <v>163</v>
      </c>
    </row>
    <row r="105" spans="1:3" ht="16.5" thickBot="1" x14ac:dyDescent="0.3">
      <c r="A105" s="97" t="s">
        <v>164</v>
      </c>
      <c r="B105" s="98" t="s">
        <v>215</v>
      </c>
      <c r="C105" s="316">
        <f>'Custo por trabalhador'!C619</f>
        <v>19.797500000000003</v>
      </c>
    </row>
    <row r="106" spans="1:3" ht="16.5" thickBot="1" x14ac:dyDescent="0.3">
      <c r="A106" s="97" t="s">
        <v>166</v>
      </c>
      <c r="B106" s="98" t="s">
        <v>216</v>
      </c>
      <c r="C106" s="316">
        <v>0</v>
      </c>
    </row>
    <row r="107" spans="1:3" ht="16.5" thickBot="1" x14ac:dyDescent="0.3">
      <c r="A107" s="97" t="s">
        <v>168</v>
      </c>
      <c r="B107" s="326" t="s">
        <v>314</v>
      </c>
      <c r="C107" s="316">
        <f>'Custo por trabalhador'!D642</f>
        <v>0</v>
      </c>
    </row>
    <row r="108" spans="1:3" ht="16.5" thickBot="1" x14ac:dyDescent="0.3">
      <c r="A108" s="97" t="s">
        <v>170</v>
      </c>
      <c r="B108" s="98" t="s">
        <v>175</v>
      </c>
      <c r="C108" s="317">
        <v>0</v>
      </c>
    </row>
    <row r="109" spans="1:3" ht="16.5" thickBot="1" x14ac:dyDescent="0.3">
      <c r="A109" s="158" t="s">
        <v>192</v>
      </c>
      <c r="B109" s="159"/>
      <c r="C109" s="316">
        <f>SUM(C105:C108)</f>
        <v>19.797500000000003</v>
      </c>
    </row>
    <row r="112" spans="1:3" x14ac:dyDescent="0.25">
      <c r="A112" s="160" t="s">
        <v>217</v>
      </c>
      <c r="B112" s="160"/>
      <c r="C112" s="160"/>
    </row>
    <row r="113" spans="1:5" ht="16.5" thickBot="1" x14ac:dyDescent="0.3"/>
    <row r="114" spans="1:5" ht="16.5" thickBot="1" x14ac:dyDescent="0.3">
      <c r="A114" s="95">
        <v>6</v>
      </c>
      <c r="B114" s="102" t="s">
        <v>125</v>
      </c>
      <c r="C114" s="121" t="s">
        <v>185</v>
      </c>
      <c r="D114" s="121" t="s">
        <v>163</v>
      </c>
    </row>
    <row r="115" spans="1:5" ht="16.5" thickBot="1" x14ac:dyDescent="0.3">
      <c r="A115" s="97" t="s">
        <v>164</v>
      </c>
      <c r="B115" s="98" t="s">
        <v>148</v>
      </c>
      <c r="C115" s="99">
        <f>'Custo por trabalhador'!B661</f>
        <v>0.03</v>
      </c>
      <c r="D115" s="316">
        <f>'Custo por trabalhador'!B675*'I SUPERVISOR UPA'!C115</f>
        <v>220.75269064961449</v>
      </c>
    </row>
    <row r="116" spans="1:5" ht="16.5" thickBot="1" x14ac:dyDescent="0.3">
      <c r="A116" s="97" t="s">
        <v>166</v>
      </c>
      <c r="B116" s="98" t="s">
        <v>150</v>
      </c>
      <c r="C116" s="99">
        <f>'Custo por trabalhador'!B663</f>
        <v>6.7900000000000002E-2</v>
      </c>
      <c r="D116" s="316">
        <f>'Custo por trabalhador'!J697*'Custo por trabalhador'!B663</f>
        <v>587.74101286592395</v>
      </c>
    </row>
    <row r="117" spans="1:5" ht="16.5" thickBot="1" x14ac:dyDescent="0.3">
      <c r="A117" s="97" t="s">
        <v>168</v>
      </c>
      <c r="B117" s="98" t="s">
        <v>149</v>
      </c>
      <c r="C117" s="99">
        <f>'Custo por trabalhador'!B662</f>
        <v>5.6500000000000002E-2</v>
      </c>
      <c r="D117" s="316">
        <f>'Custo por trabalhador'!J697*'I SUPERVISOR UPA'!C117</f>
        <v>489.06284575735941</v>
      </c>
    </row>
    <row r="118" spans="1:5" ht="16.5" thickBot="1" x14ac:dyDescent="0.3">
      <c r="A118" s="97"/>
      <c r="B118" s="98" t="s">
        <v>324</v>
      </c>
      <c r="C118" s="331">
        <v>6.4999999999999997E-3</v>
      </c>
      <c r="D118" s="329">
        <f>'Custo por trabalhador'!J697*0.65%</f>
        <v>56.263867211023651</v>
      </c>
    </row>
    <row r="119" spans="1:5" ht="16.5" thickBot="1" x14ac:dyDescent="0.3">
      <c r="A119" s="97"/>
      <c r="B119" s="98" t="s">
        <v>325</v>
      </c>
      <c r="C119" s="327">
        <v>0.03</v>
      </c>
      <c r="D119" s="329">
        <f>'Custo por trabalhador'!J697*3%</f>
        <v>259.67938712780142</v>
      </c>
    </row>
    <row r="120" spans="1:5" ht="16.5" thickBot="1" x14ac:dyDescent="0.3">
      <c r="A120" s="97"/>
      <c r="B120" s="98" t="s">
        <v>323</v>
      </c>
      <c r="C120" s="327">
        <v>0.02</v>
      </c>
      <c r="D120" s="329">
        <f>'Custo por trabalhador'!J697*2%</f>
        <v>173.1195914185343</v>
      </c>
      <c r="E120" s="328"/>
    </row>
    <row r="121" spans="1:5" ht="16.5" thickBot="1" x14ac:dyDescent="0.3">
      <c r="A121" s="158" t="s">
        <v>192</v>
      </c>
      <c r="B121" s="159"/>
      <c r="C121" s="327"/>
      <c r="D121" s="316">
        <f>SUM(D115:D117)</f>
        <v>1297.5565492728979</v>
      </c>
    </row>
    <row r="124" spans="1:5" x14ac:dyDescent="0.25">
      <c r="A124" s="160" t="s">
        <v>218</v>
      </c>
      <c r="B124" s="160"/>
      <c r="C124" s="160"/>
    </row>
    <row r="125" spans="1:5" ht="16.5" thickBot="1" x14ac:dyDescent="0.3"/>
    <row r="126" spans="1:5" ht="16.5" thickBot="1" x14ac:dyDescent="0.3">
      <c r="A126" s="95"/>
      <c r="B126" s="121" t="s">
        <v>219</v>
      </c>
      <c r="C126" s="121" t="s">
        <v>163</v>
      </c>
    </row>
    <row r="127" spans="1:5" ht="16.5" thickBot="1" x14ac:dyDescent="0.3">
      <c r="A127" s="104" t="s">
        <v>164</v>
      </c>
      <c r="B127" s="98" t="s">
        <v>161</v>
      </c>
      <c r="C127" s="330">
        <f>C16</f>
        <v>3347.2</v>
      </c>
    </row>
    <row r="128" spans="1:5" ht="16.5" thickBot="1" x14ac:dyDescent="0.3">
      <c r="A128" s="104" t="s">
        <v>166</v>
      </c>
      <c r="B128" s="98" t="s">
        <v>176</v>
      </c>
      <c r="C128" s="330">
        <f>C60</f>
        <v>3037.2447999999999</v>
      </c>
    </row>
    <row r="129" spans="1:3" ht="16.5" thickBot="1" x14ac:dyDescent="0.3">
      <c r="A129" s="104" t="s">
        <v>168</v>
      </c>
      <c r="B129" s="98" t="s">
        <v>200</v>
      </c>
      <c r="C129" s="330">
        <f>C69</f>
        <v>398.78795015644448</v>
      </c>
    </row>
    <row r="130" spans="1:3" ht="16.5" thickBot="1" x14ac:dyDescent="0.3">
      <c r="A130" s="104" t="s">
        <v>170</v>
      </c>
      <c r="B130" s="98" t="s">
        <v>202</v>
      </c>
      <c r="C130" s="330">
        <f>C99</f>
        <v>377.70319893789497</v>
      </c>
    </row>
    <row r="131" spans="1:3" ht="16.5" thickBot="1" x14ac:dyDescent="0.3">
      <c r="A131" s="104" t="s">
        <v>171</v>
      </c>
      <c r="B131" s="98" t="s">
        <v>214</v>
      </c>
      <c r="C131" s="330">
        <f>C109</f>
        <v>19.797500000000003</v>
      </c>
    </row>
    <row r="132" spans="1:3" ht="16.5" thickBot="1" x14ac:dyDescent="0.3">
      <c r="A132" s="158" t="s">
        <v>220</v>
      </c>
      <c r="B132" s="159"/>
      <c r="C132" s="330">
        <f>SUM(C127:C131)</f>
        <v>7180.7334490943385</v>
      </c>
    </row>
    <row r="133" spans="1:3" ht="16.5" thickBot="1" x14ac:dyDescent="0.3">
      <c r="A133" s="104" t="s">
        <v>173</v>
      </c>
      <c r="B133" s="98" t="s">
        <v>221</v>
      </c>
      <c r="C133" s="330">
        <f>D121</f>
        <v>1297.5565492728979</v>
      </c>
    </row>
    <row r="134" spans="1:3" ht="16.5" thickBot="1" x14ac:dyDescent="0.3">
      <c r="A134" s="158" t="s">
        <v>222</v>
      </c>
      <c r="B134" s="159"/>
      <c r="C134" s="330">
        <f>C132+C133</f>
        <v>8478.289998367236</v>
      </c>
    </row>
  </sheetData>
  <mergeCells count="30">
    <mergeCell ref="A109:B109"/>
    <mergeCell ref="A112:C112"/>
    <mergeCell ref="A121:B121"/>
    <mergeCell ref="A124:C124"/>
    <mergeCell ref="A132:B132"/>
    <mergeCell ref="A134:B134"/>
    <mergeCell ref="A84:B84"/>
    <mergeCell ref="A87:C87"/>
    <mergeCell ref="A91:B91"/>
    <mergeCell ref="A94:C94"/>
    <mergeCell ref="A99:B99"/>
    <mergeCell ref="A102:C102"/>
    <mergeCell ref="A54:C54"/>
    <mergeCell ref="A60:B60"/>
    <mergeCell ref="A63:C63"/>
    <mergeCell ref="A69:B69"/>
    <mergeCell ref="A72:C72"/>
    <mergeCell ref="A75:C75"/>
    <mergeCell ref="A21:C21"/>
    <mergeCell ref="A26:B26"/>
    <mergeCell ref="A29:D29"/>
    <mergeCell ref="A40:B40"/>
    <mergeCell ref="A43:C43"/>
    <mergeCell ref="A51:B51"/>
    <mergeCell ref="A1:D1"/>
    <mergeCell ref="A2:D2"/>
    <mergeCell ref="A3:D3"/>
    <mergeCell ref="A6:C6"/>
    <mergeCell ref="A16:B16"/>
    <mergeCell ref="A19:C19"/>
  </mergeCells>
  <pageMargins left="0.511811024" right="0.511811024" top="0.78740157499999996" bottom="0.78740157499999996" header="0.31496062000000002" footer="0.31496062000000002"/>
  <pageSetup paperSize="9" scale="81"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4"/>
  <sheetViews>
    <sheetView showGridLines="0" zoomScale="115" zoomScaleNormal="115" workbookViewId="0">
      <selection activeCell="D134" sqref="A1:D134"/>
    </sheetView>
  </sheetViews>
  <sheetFormatPr defaultRowHeight="15.75" x14ac:dyDescent="0.25"/>
  <cols>
    <col min="1" max="1" width="9.140625" style="103"/>
    <col min="2" max="2" width="72.140625" style="103" customWidth="1"/>
    <col min="3" max="3" width="18" style="103" customWidth="1"/>
    <col min="4" max="4" width="14.28515625" style="103" customWidth="1"/>
    <col min="5" max="5" width="12.7109375" style="103" customWidth="1"/>
    <col min="6" max="6" width="12" style="103" customWidth="1"/>
    <col min="7" max="7" width="15.140625" style="103" customWidth="1"/>
    <col min="8" max="16384" width="9.140625" style="103"/>
  </cols>
  <sheetData>
    <row r="1" spans="1:4" ht="23.25" x14ac:dyDescent="0.35">
      <c r="A1" s="139" t="s">
        <v>223</v>
      </c>
      <c r="B1" s="139"/>
      <c r="C1" s="139"/>
      <c r="D1" s="139"/>
    </row>
    <row r="2" spans="1:4" ht="23.25" x14ac:dyDescent="0.35">
      <c r="A2" s="139" t="s">
        <v>225</v>
      </c>
      <c r="B2" s="139"/>
      <c r="C2" s="139"/>
      <c r="D2" s="139"/>
    </row>
    <row r="3" spans="1:4" x14ac:dyDescent="0.25">
      <c r="A3" s="163" t="s">
        <v>233</v>
      </c>
      <c r="B3" s="163"/>
      <c r="C3" s="163"/>
      <c r="D3" s="163"/>
    </row>
    <row r="6" spans="1:4" x14ac:dyDescent="0.25">
      <c r="A6" s="162" t="s">
        <v>161</v>
      </c>
      <c r="B6" s="162"/>
      <c r="C6" s="162"/>
    </row>
    <row r="7" spans="1:4" ht="16.5" thickBot="1" x14ac:dyDescent="0.3"/>
    <row r="8" spans="1:4" ht="16.5" thickBot="1" x14ac:dyDescent="0.3">
      <c r="A8" s="95">
        <v>1</v>
      </c>
      <c r="B8" s="121" t="s">
        <v>162</v>
      </c>
      <c r="C8" s="121" t="s">
        <v>163</v>
      </c>
    </row>
    <row r="9" spans="1:4" ht="16.5" thickBot="1" x14ac:dyDescent="0.3">
      <c r="A9" s="97" t="s">
        <v>164</v>
      </c>
      <c r="B9" s="98" t="s">
        <v>165</v>
      </c>
      <c r="C9" s="317">
        <f>'Custo por trabalhador'!B21</f>
        <v>3023</v>
      </c>
    </row>
    <row r="10" spans="1:4" ht="16.5" thickBot="1" x14ac:dyDescent="0.3">
      <c r="A10" s="97" t="s">
        <v>166</v>
      </c>
      <c r="B10" s="98" t="s">
        <v>167</v>
      </c>
      <c r="C10" s="317">
        <v>0</v>
      </c>
    </row>
    <row r="11" spans="1:4" ht="16.5" thickBot="1" x14ac:dyDescent="0.3">
      <c r="A11" s="97" t="s">
        <v>168</v>
      </c>
      <c r="B11" s="98" t="s">
        <v>169</v>
      </c>
      <c r="C11" s="317">
        <f>'Custo por trabalhador'!D53</f>
        <v>324.20000000000005</v>
      </c>
    </row>
    <row r="12" spans="1:4" ht="16.5" thickBot="1" x14ac:dyDescent="0.3">
      <c r="A12" s="97" t="s">
        <v>170</v>
      </c>
      <c r="B12" s="98" t="s">
        <v>11</v>
      </c>
      <c r="C12" s="317">
        <f>'Custo por trabalhador'!E61</f>
        <v>0</v>
      </c>
    </row>
    <row r="13" spans="1:4" ht="16.5" thickBot="1" x14ac:dyDescent="0.3">
      <c r="A13" s="97" t="s">
        <v>171</v>
      </c>
      <c r="B13" s="98" t="s">
        <v>172</v>
      </c>
      <c r="C13" s="317">
        <f>'Custo por trabalhador'!E75</f>
        <v>0</v>
      </c>
    </row>
    <row r="14" spans="1:4" ht="16.5" thickBot="1" x14ac:dyDescent="0.3">
      <c r="A14" s="97"/>
      <c r="B14" s="98"/>
      <c r="C14" s="317"/>
    </row>
    <row r="15" spans="1:4" ht="16.5" thickBot="1" x14ac:dyDescent="0.3">
      <c r="A15" s="97" t="s">
        <v>174</v>
      </c>
      <c r="B15" s="98" t="s">
        <v>175</v>
      </c>
      <c r="C15" s="317">
        <f>'Custo por trabalhador'!D28</f>
        <v>0</v>
      </c>
    </row>
    <row r="16" spans="1:4" ht="16.5" thickBot="1" x14ac:dyDescent="0.3">
      <c r="A16" s="158" t="s">
        <v>14</v>
      </c>
      <c r="B16" s="159"/>
      <c r="C16" s="317">
        <f>SUM(C9:C15)</f>
        <v>3347.2</v>
      </c>
    </row>
    <row r="19" spans="1:4" x14ac:dyDescent="0.25">
      <c r="A19" s="160" t="s">
        <v>176</v>
      </c>
      <c r="B19" s="160"/>
      <c r="C19" s="160"/>
    </row>
    <row r="20" spans="1:4" x14ac:dyDescent="0.25">
      <c r="A20" s="94"/>
    </row>
    <row r="21" spans="1:4" x14ac:dyDescent="0.25">
      <c r="A21" s="161" t="s">
        <v>177</v>
      </c>
      <c r="B21" s="161"/>
      <c r="C21" s="161"/>
    </row>
    <row r="22" spans="1:4" ht="16.5" thickBot="1" x14ac:dyDescent="0.3"/>
    <row r="23" spans="1:4" ht="16.5" thickBot="1" x14ac:dyDescent="0.3">
      <c r="A23" s="95" t="s">
        <v>178</v>
      </c>
      <c r="B23" s="121" t="s">
        <v>179</v>
      </c>
      <c r="C23" s="121" t="s">
        <v>163</v>
      </c>
    </row>
    <row r="24" spans="1:4" ht="16.5" thickBot="1" x14ac:dyDescent="0.3">
      <c r="A24" s="97" t="s">
        <v>164</v>
      </c>
      <c r="B24" s="98" t="s">
        <v>180</v>
      </c>
      <c r="C24" s="316">
        <f>'Custo por trabalhador'!D130</f>
        <v>278.93333333333328</v>
      </c>
    </row>
    <row r="25" spans="1:4" ht="16.5" thickBot="1" x14ac:dyDescent="0.3">
      <c r="A25" s="97" t="s">
        <v>166</v>
      </c>
      <c r="B25" s="98" t="s">
        <v>181</v>
      </c>
      <c r="C25" s="316">
        <f>'Custo por trabalhador'!D143+'Custo por trabalhador'!E156</f>
        <v>371.91111111111104</v>
      </c>
    </row>
    <row r="26" spans="1:4" ht="16.5" thickBot="1" x14ac:dyDescent="0.3">
      <c r="A26" s="158" t="s">
        <v>14</v>
      </c>
      <c r="B26" s="159"/>
      <c r="C26" s="316">
        <f>SUM(C24:C25)</f>
        <v>650.84444444444432</v>
      </c>
    </row>
    <row r="29" spans="1:4" ht="32.25" customHeight="1" x14ac:dyDescent="0.25">
      <c r="A29" s="164" t="s">
        <v>182</v>
      </c>
      <c r="B29" s="164"/>
      <c r="C29" s="164"/>
      <c r="D29" s="164"/>
    </row>
    <row r="30" spans="1:4" ht="16.5" thickBot="1" x14ac:dyDescent="0.3"/>
    <row r="31" spans="1:4" ht="16.5" thickBot="1" x14ac:dyDescent="0.3">
      <c r="A31" s="95" t="s">
        <v>183</v>
      </c>
      <c r="B31" s="121" t="s">
        <v>184</v>
      </c>
      <c r="C31" s="121" t="s">
        <v>185</v>
      </c>
      <c r="D31" s="121" t="s">
        <v>163</v>
      </c>
    </row>
    <row r="32" spans="1:4" ht="16.5" thickBot="1" x14ac:dyDescent="0.3">
      <c r="A32" s="97" t="s">
        <v>164</v>
      </c>
      <c r="B32" s="98" t="s">
        <v>186</v>
      </c>
      <c r="C32" s="99">
        <v>0.2</v>
      </c>
      <c r="D32" s="316">
        <f>(C26+C16)*C32</f>
        <v>799.60888888888894</v>
      </c>
    </row>
    <row r="33" spans="1:4" ht="16.5" thickBot="1" x14ac:dyDescent="0.3">
      <c r="A33" s="97" t="s">
        <v>166</v>
      </c>
      <c r="B33" s="98" t="s">
        <v>187</v>
      </c>
      <c r="C33" s="99">
        <v>2.5000000000000001E-2</v>
      </c>
      <c r="D33" s="316">
        <f>($C$26+$C$16)*C33</f>
        <v>99.951111111111118</v>
      </c>
    </row>
    <row r="34" spans="1:4" ht="16.5" thickBot="1" x14ac:dyDescent="0.3">
      <c r="A34" s="97" t="s">
        <v>168</v>
      </c>
      <c r="B34" s="98" t="s">
        <v>188</v>
      </c>
      <c r="C34" s="319">
        <f>'Custo por trabalhador'!B178</f>
        <v>0.03</v>
      </c>
      <c r="D34" s="316">
        <f t="shared" ref="D34:D39" si="0">($C$26+$C$16)*C34</f>
        <v>119.94133333333332</v>
      </c>
    </row>
    <row r="35" spans="1:4" ht="16.5" thickBot="1" x14ac:dyDescent="0.3">
      <c r="A35" s="97" t="s">
        <v>170</v>
      </c>
      <c r="B35" s="98" t="s">
        <v>189</v>
      </c>
      <c r="C35" s="99">
        <v>1.4999999999999999E-2</v>
      </c>
      <c r="D35" s="316">
        <f t="shared" si="0"/>
        <v>59.970666666666659</v>
      </c>
    </row>
    <row r="36" spans="1:4" ht="16.5" thickBot="1" x14ac:dyDescent="0.3">
      <c r="A36" s="97" t="s">
        <v>171</v>
      </c>
      <c r="B36" s="98" t="s">
        <v>190</v>
      </c>
      <c r="C36" s="99">
        <v>0.01</v>
      </c>
      <c r="D36" s="316">
        <f t="shared" si="0"/>
        <v>39.980444444444444</v>
      </c>
    </row>
    <row r="37" spans="1:4" ht="16.5" thickBot="1" x14ac:dyDescent="0.3">
      <c r="A37" s="97" t="s">
        <v>173</v>
      </c>
      <c r="B37" s="98" t="s">
        <v>27</v>
      </c>
      <c r="C37" s="99">
        <v>6.0000000000000001E-3</v>
      </c>
      <c r="D37" s="316">
        <f t="shared" si="0"/>
        <v>23.988266666666664</v>
      </c>
    </row>
    <row r="38" spans="1:4" ht="16.5" thickBot="1" x14ac:dyDescent="0.3">
      <c r="A38" s="97" t="s">
        <v>174</v>
      </c>
      <c r="B38" s="98" t="s">
        <v>28</v>
      </c>
      <c r="C38" s="99">
        <v>2E-3</v>
      </c>
      <c r="D38" s="316">
        <f t="shared" si="0"/>
        <v>7.996088888888889</v>
      </c>
    </row>
    <row r="39" spans="1:4" ht="16.5" thickBot="1" x14ac:dyDescent="0.3">
      <c r="A39" s="97" t="s">
        <v>191</v>
      </c>
      <c r="B39" s="98" t="s">
        <v>29</v>
      </c>
      <c r="C39" s="99">
        <v>0.08</v>
      </c>
      <c r="D39" s="316">
        <f t="shared" si="0"/>
        <v>319.84355555555555</v>
      </c>
    </row>
    <row r="40" spans="1:4" ht="16.5" thickBot="1" x14ac:dyDescent="0.3">
      <c r="A40" s="158" t="s">
        <v>192</v>
      </c>
      <c r="B40" s="159"/>
      <c r="C40" s="99">
        <f>SUM(C32:C39)</f>
        <v>0.36800000000000005</v>
      </c>
      <c r="D40" s="316">
        <f>SUM(D32:D39)</f>
        <v>1471.2803555555556</v>
      </c>
    </row>
    <row r="43" spans="1:4" x14ac:dyDescent="0.25">
      <c r="A43" s="161" t="s">
        <v>193</v>
      </c>
      <c r="B43" s="161"/>
      <c r="C43" s="161"/>
    </row>
    <row r="44" spans="1:4" ht="16.5" thickBot="1" x14ac:dyDescent="0.3"/>
    <row r="45" spans="1:4" ht="16.5" thickBot="1" x14ac:dyDescent="0.3">
      <c r="A45" s="95" t="s">
        <v>194</v>
      </c>
      <c r="B45" s="121" t="s">
        <v>195</v>
      </c>
      <c r="C45" s="121" t="s">
        <v>163</v>
      </c>
    </row>
    <row r="46" spans="1:4" ht="16.5" thickBot="1" x14ac:dyDescent="0.3">
      <c r="A46" s="97" t="s">
        <v>164</v>
      </c>
      <c r="B46" s="98" t="s">
        <v>196</v>
      </c>
      <c r="C46" s="316">
        <f>'Custo por trabalhador'!D265</f>
        <v>38.620000000000005</v>
      </c>
    </row>
    <row r="47" spans="1:4" ht="16.5" thickBot="1" x14ac:dyDescent="0.3">
      <c r="A47" s="97" t="s">
        <v>166</v>
      </c>
      <c r="B47" s="98" t="s">
        <v>197</v>
      </c>
      <c r="C47" s="316">
        <f>'Custo por trabalhador'!D305</f>
        <v>720</v>
      </c>
    </row>
    <row r="48" spans="1:4" ht="16.5" thickBot="1" x14ac:dyDescent="0.3">
      <c r="A48" s="97" t="s">
        <v>168</v>
      </c>
      <c r="B48" s="98" t="str">
        <f>'Custo por trabalhador'!D323</f>
        <v>Auxílio Saúde</v>
      </c>
      <c r="C48" s="316">
        <f>'Custo por trabalhador'!B320</f>
        <v>94.5</v>
      </c>
    </row>
    <row r="49" spans="1:3" ht="16.5" thickBot="1" x14ac:dyDescent="0.3">
      <c r="A49" s="97" t="s">
        <v>170</v>
      </c>
      <c r="B49" s="98" t="str">
        <f>'Custo por trabalhador'!E323</f>
        <v>Benefício Social Familiar</v>
      </c>
      <c r="C49" s="316">
        <f>'Custo por trabalhador'!C320</f>
        <v>31</v>
      </c>
    </row>
    <row r="50" spans="1:3" ht="16.5" thickBot="1" x14ac:dyDescent="0.3">
      <c r="A50" s="318" t="s">
        <v>171</v>
      </c>
      <c r="B50" s="98" t="str">
        <f>'Custo por trabalhador'!F323</f>
        <v>Fundo de Formação Profissional</v>
      </c>
      <c r="C50" s="316">
        <f>'Custo por trabalhador'!D320</f>
        <v>31</v>
      </c>
    </row>
    <row r="51" spans="1:3" ht="16.5" thickBot="1" x14ac:dyDescent="0.3">
      <c r="A51" s="158" t="s">
        <v>14</v>
      </c>
      <c r="B51" s="159"/>
      <c r="C51" s="316">
        <f>SUM(C46:C50)</f>
        <v>915.12</v>
      </c>
    </row>
    <row r="54" spans="1:3" x14ac:dyDescent="0.25">
      <c r="A54" s="161" t="s">
        <v>198</v>
      </c>
      <c r="B54" s="161"/>
      <c r="C54" s="161"/>
    </row>
    <row r="55" spans="1:3" ht="16.5" thickBot="1" x14ac:dyDescent="0.3"/>
    <row r="56" spans="1:3" ht="16.5" thickBot="1" x14ac:dyDescent="0.3">
      <c r="A56" s="95">
        <v>2</v>
      </c>
      <c r="B56" s="121" t="s">
        <v>199</v>
      </c>
      <c r="C56" s="121" t="s">
        <v>163</v>
      </c>
    </row>
    <row r="57" spans="1:3" ht="16.5" thickBot="1" x14ac:dyDescent="0.3">
      <c r="A57" s="97" t="s">
        <v>178</v>
      </c>
      <c r="B57" s="98" t="s">
        <v>179</v>
      </c>
      <c r="C57" s="316">
        <f>C26</f>
        <v>650.84444444444432</v>
      </c>
    </row>
    <row r="58" spans="1:3" ht="16.5" thickBot="1" x14ac:dyDescent="0.3">
      <c r="A58" s="97" t="s">
        <v>183</v>
      </c>
      <c r="B58" s="98" t="s">
        <v>184</v>
      </c>
      <c r="C58" s="316">
        <f>D40</f>
        <v>1471.2803555555556</v>
      </c>
    </row>
    <row r="59" spans="1:3" ht="16.5" thickBot="1" x14ac:dyDescent="0.3">
      <c r="A59" s="97" t="s">
        <v>194</v>
      </c>
      <c r="B59" s="98" t="s">
        <v>195</v>
      </c>
      <c r="C59" s="316">
        <f>C51</f>
        <v>915.12</v>
      </c>
    </row>
    <row r="60" spans="1:3" ht="16.5" thickBot="1" x14ac:dyDescent="0.3">
      <c r="A60" s="158" t="s">
        <v>14</v>
      </c>
      <c r="B60" s="159"/>
      <c r="C60" s="316">
        <f>SUM(C57:C59)</f>
        <v>3037.2447999999999</v>
      </c>
    </row>
    <row r="61" spans="1:3" x14ac:dyDescent="0.25">
      <c r="A61" s="13"/>
    </row>
    <row r="63" spans="1:3" x14ac:dyDescent="0.25">
      <c r="A63" s="160" t="s">
        <v>200</v>
      </c>
      <c r="B63" s="160"/>
      <c r="C63" s="160"/>
    </row>
    <row r="64" spans="1:3" ht="16.5" thickBot="1" x14ac:dyDescent="0.3"/>
    <row r="65" spans="1:3" ht="16.5" thickBot="1" x14ac:dyDescent="0.3">
      <c r="A65" s="95">
        <v>3</v>
      </c>
      <c r="B65" s="121" t="s">
        <v>201</v>
      </c>
      <c r="C65" s="121" t="s">
        <v>163</v>
      </c>
    </row>
    <row r="66" spans="1:3" ht="16.5" thickBot="1" x14ac:dyDescent="0.3">
      <c r="A66" s="97" t="s">
        <v>164</v>
      </c>
      <c r="B66" s="101" t="s">
        <v>321</v>
      </c>
      <c r="C66" s="316">
        <f>'Custo por trabalhador'!D402</f>
        <v>166.77831444400002</v>
      </c>
    </row>
    <row r="67" spans="1:3" x14ac:dyDescent="0.25">
      <c r="A67" s="320" t="s">
        <v>166</v>
      </c>
      <c r="B67" s="321" t="s">
        <v>322</v>
      </c>
      <c r="C67" s="322">
        <f>'Custo por trabalhador'!D444</f>
        <v>238.51808015688891</v>
      </c>
    </row>
    <row r="68" spans="1:3" x14ac:dyDescent="0.25">
      <c r="A68" s="168" t="s">
        <v>168</v>
      </c>
      <c r="B68" s="325" t="s">
        <v>320</v>
      </c>
      <c r="C68" s="315">
        <f>'Custo por trabalhador'!D473</f>
        <v>-6.5084444444444429</v>
      </c>
    </row>
    <row r="69" spans="1:3" ht="16.5" thickBot="1" x14ac:dyDescent="0.3">
      <c r="A69" s="323" t="s">
        <v>14</v>
      </c>
      <c r="B69" s="324"/>
      <c r="C69" s="316">
        <f>SUM(C66:C68)</f>
        <v>398.78795015644448</v>
      </c>
    </row>
    <row r="72" spans="1:3" x14ac:dyDescent="0.25">
      <c r="A72" s="160" t="s">
        <v>202</v>
      </c>
      <c r="B72" s="160"/>
      <c r="C72" s="160"/>
    </row>
    <row r="75" spans="1:3" x14ac:dyDescent="0.25">
      <c r="A75" s="161" t="s">
        <v>203</v>
      </c>
      <c r="B75" s="161"/>
      <c r="C75" s="161"/>
    </row>
    <row r="76" spans="1:3" ht="16.5" thickBot="1" x14ac:dyDescent="0.3">
      <c r="A76" s="94"/>
    </row>
    <row r="77" spans="1:3" ht="16.5" thickBot="1" x14ac:dyDescent="0.3">
      <c r="A77" s="95" t="s">
        <v>204</v>
      </c>
      <c r="B77" s="121" t="s">
        <v>205</v>
      </c>
      <c r="C77" s="121" t="s">
        <v>163</v>
      </c>
    </row>
    <row r="78" spans="1:3" ht="16.5" thickBot="1" x14ac:dyDescent="0.3">
      <c r="A78" s="97" t="s">
        <v>164</v>
      </c>
      <c r="B78" s="98" t="s">
        <v>18</v>
      </c>
      <c r="C78" s="316">
        <f>'Custo por trabalhador'!G497*'Custo por trabalhador'!D541/12</f>
        <v>394.91423545431354</v>
      </c>
    </row>
    <row r="79" spans="1:3" ht="16.5" thickBot="1" x14ac:dyDescent="0.3">
      <c r="A79" s="97" t="s">
        <v>166</v>
      </c>
      <c r="B79" s="98" t="s">
        <v>205</v>
      </c>
      <c r="C79" s="316">
        <f>'Custo por trabalhador'!D541*'Custo por trabalhador'!C498/12</f>
        <v>18.842313194879011</v>
      </c>
    </row>
    <row r="80" spans="1:3" ht="16.5" thickBot="1" x14ac:dyDescent="0.3">
      <c r="A80" s="97" t="s">
        <v>168</v>
      </c>
      <c r="B80" s="98" t="s">
        <v>206</v>
      </c>
      <c r="C80" s="316">
        <f>'Custo por trabalhador'!D541*'Custo por trabalhador'!G506/12</f>
        <v>3.7648490446644565</v>
      </c>
    </row>
    <row r="81" spans="1:3" ht="16.5" thickBot="1" x14ac:dyDescent="0.3">
      <c r="A81" s="97" t="s">
        <v>170</v>
      </c>
      <c r="B81" s="98" t="s">
        <v>207</v>
      </c>
      <c r="C81" s="316">
        <f>'Custo por trabalhador'!D541*'Custo por trabalhador'!G499/12</f>
        <v>18.205546254443856</v>
      </c>
    </row>
    <row r="82" spans="1:3" ht="16.5" thickBot="1" x14ac:dyDescent="0.3">
      <c r="A82" s="97" t="s">
        <v>171</v>
      </c>
      <c r="B82" s="98" t="s">
        <v>208</v>
      </c>
      <c r="C82" s="316">
        <f>'Custo por trabalhador'!D541*'Custo por trabalhador'!G507/12</f>
        <v>46.678862630699854</v>
      </c>
    </row>
    <row r="83" spans="1:3" ht="16.5" thickBot="1" x14ac:dyDescent="0.3">
      <c r="A83" s="97" t="s">
        <v>173</v>
      </c>
      <c r="B83" s="98" t="s">
        <v>175</v>
      </c>
      <c r="C83" s="316">
        <f>'Custo por trabalhador'!E545-C78-C79-C80-C81-C82</f>
        <v>-104.7026076411057</v>
      </c>
    </row>
    <row r="84" spans="1:3" ht="16.5" thickBot="1" x14ac:dyDescent="0.3">
      <c r="A84" s="158" t="s">
        <v>192</v>
      </c>
      <c r="B84" s="159"/>
      <c r="C84" s="316">
        <f>SUM(C78:C83)</f>
        <v>377.70319893789497</v>
      </c>
    </row>
    <row r="87" spans="1:3" x14ac:dyDescent="0.25">
      <c r="A87" s="161" t="s">
        <v>209</v>
      </c>
      <c r="B87" s="161"/>
      <c r="C87" s="161"/>
    </row>
    <row r="88" spans="1:3" ht="16.5" thickBot="1" x14ac:dyDescent="0.3">
      <c r="A88" s="94"/>
    </row>
    <row r="89" spans="1:3" ht="16.5" thickBot="1" x14ac:dyDescent="0.3">
      <c r="A89" s="95" t="s">
        <v>210</v>
      </c>
      <c r="B89" s="121" t="s">
        <v>211</v>
      </c>
      <c r="C89" s="121" t="s">
        <v>163</v>
      </c>
    </row>
    <row r="90" spans="1:3" ht="16.5" thickBot="1" x14ac:dyDescent="0.3">
      <c r="A90" s="97" t="s">
        <v>164</v>
      </c>
      <c r="B90" s="98" t="s">
        <v>234</v>
      </c>
      <c r="C90" s="316">
        <f>'Custo por trabalhador'!D574</f>
        <v>0</v>
      </c>
    </row>
    <row r="91" spans="1:3" ht="16.5" thickBot="1" x14ac:dyDescent="0.3">
      <c r="A91" s="158" t="s">
        <v>14</v>
      </c>
      <c r="B91" s="159"/>
      <c r="C91" s="316">
        <f>SUM(C90)</f>
        <v>0</v>
      </c>
    </row>
    <row r="94" spans="1:3" x14ac:dyDescent="0.25">
      <c r="A94" s="161" t="s">
        <v>212</v>
      </c>
      <c r="B94" s="161"/>
      <c r="C94" s="161"/>
    </row>
    <row r="95" spans="1:3" ht="16.5" thickBot="1" x14ac:dyDescent="0.3">
      <c r="A95" s="94"/>
    </row>
    <row r="96" spans="1:3" ht="16.5" thickBot="1" x14ac:dyDescent="0.3">
      <c r="A96" s="95">
        <v>4</v>
      </c>
      <c r="B96" s="121" t="s">
        <v>213</v>
      </c>
      <c r="C96" s="121" t="s">
        <v>163</v>
      </c>
    </row>
    <row r="97" spans="1:3" ht="16.5" thickBot="1" x14ac:dyDescent="0.3">
      <c r="A97" s="97" t="s">
        <v>204</v>
      </c>
      <c r="B97" s="98" t="s">
        <v>205</v>
      </c>
      <c r="C97" s="316">
        <f>C84</f>
        <v>377.70319893789497</v>
      </c>
    </row>
    <row r="98" spans="1:3" ht="16.5" thickBot="1" x14ac:dyDescent="0.3">
      <c r="A98" s="97" t="s">
        <v>210</v>
      </c>
      <c r="B98" s="98" t="s">
        <v>211</v>
      </c>
      <c r="C98" s="316">
        <f>C91</f>
        <v>0</v>
      </c>
    </row>
    <row r="99" spans="1:3" ht="16.5" thickBot="1" x14ac:dyDescent="0.3">
      <c r="A99" s="158" t="s">
        <v>14</v>
      </c>
      <c r="B99" s="159"/>
      <c r="C99" s="316">
        <f>SUM(C97:C98)</f>
        <v>377.70319893789497</v>
      </c>
    </row>
    <row r="102" spans="1:3" x14ac:dyDescent="0.25">
      <c r="A102" s="160" t="s">
        <v>214</v>
      </c>
      <c r="B102" s="160"/>
      <c r="C102" s="160"/>
    </row>
    <row r="103" spans="1:3" ht="16.5" thickBot="1" x14ac:dyDescent="0.3"/>
    <row r="104" spans="1:3" ht="16.5" thickBot="1" x14ac:dyDescent="0.3">
      <c r="A104" s="95">
        <v>5</v>
      </c>
      <c r="B104" s="102" t="s">
        <v>124</v>
      </c>
      <c r="C104" s="121" t="s">
        <v>163</v>
      </c>
    </row>
    <row r="105" spans="1:3" ht="16.5" thickBot="1" x14ac:dyDescent="0.3">
      <c r="A105" s="97" t="s">
        <v>164</v>
      </c>
      <c r="B105" s="98" t="s">
        <v>215</v>
      </c>
      <c r="C105" s="316">
        <f>'Custo por trabalhador'!C620</f>
        <v>19.797500000000003</v>
      </c>
    </row>
    <row r="106" spans="1:3" ht="16.5" thickBot="1" x14ac:dyDescent="0.3">
      <c r="A106" s="97" t="s">
        <v>166</v>
      </c>
      <c r="B106" s="98" t="s">
        <v>216</v>
      </c>
      <c r="C106" s="316">
        <v>0</v>
      </c>
    </row>
    <row r="107" spans="1:3" ht="16.5" thickBot="1" x14ac:dyDescent="0.3">
      <c r="A107" s="97" t="s">
        <v>168</v>
      </c>
      <c r="B107" s="326" t="s">
        <v>314</v>
      </c>
      <c r="C107" s="316">
        <f>'Custo por trabalhador'!D643</f>
        <v>0</v>
      </c>
    </row>
    <row r="108" spans="1:3" ht="16.5" thickBot="1" x14ac:dyDescent="0.3">
      <c r="A108" s="97" t="s">
        <v>170</v>
      </c>
      <c r="B108" s="98" t="s">
        <v>175</v>
      </c>
      <c r="C108" s="317">
        <v>0</v>
      </c>
    </row>
    <row r="109" spans="1:3" ht="16.5" thickBot="1" x14ac:dyDescent="0.3">
      <c r="A109" s="158" t="s">
        <v>192</v>
      </c>
      <c r="B109" s="159"/>
      <c r="C109" s="316">
        <f>SUM(C105:C108)</f>
        <v>19.797500000000003</v>
      </c>
    </row>
    <row r="112" spans="1:3" x14ac:dyDescent="0.25">
      <c r="A112" s="160" t="s">
        <v>217</v>
      </c>
      <c r="B112" s="160"/>
      <c r="C112" s="160"/>
    </row>
    <row r="113" spans="1:5" ht="16.5" thickBot="1" x14ac:dyDescent="0.3"/>
    <row r="114" spans="1:5" ht="16.5" thickBot="1" x14ac:dyDescent="0.3">
      <c r="A114" s="95">
        <v>6</v>
      </c>
      <c r="B114" s="102" t="s">
        <v>125</v>
      </c>
      <c r="C114" s="121" t="s">
        <v>185</v>
      </c>
      <c r="D114" s="121" t="s">
        <v>163</v>
      </c>
    </row>
    <row r="115" spans="1:5" ht="16.5" thickBot="1" x14ac:dyDescent="0.3">
      <c r="A115" s="97" t="s">
        <v>164</v>
      </c>
      <c r="B115" s="98" t="s">
        <v>148</v>
      </c>
      <c r="C115" s="99">
        <f>'Custo por trabalhador'!B661</f>
        <v>0.03</v>
      </c>
      <c r="D115" s="316">
        <f>'Custo por trabalhador'!B676*'J SUPERVISOR DEMAIS UNIDADES'!C115</f>
        <v>220.75269064961449</v>
      </c>
    </row>
    <row r="116" spans="1:5" ht="16.5" thickBot="1" x14ac:dyDescent="0.3">
      <c r="A116" s="97" t="s">
        <v>166</v>
      </c>
      <c r="B116" s="98" t="s">
        <v>150</v>
      </c>
      <c r="C116" s="99">
        <f>'Custo por trabalhador'!B663</f>
        <v>6.7900000000000002E-2</v>
      </c>
      <c r="D116" s="316">
        <f>'Custo por trabalhador'!K697*'Custo por trabalhador'!B663</f>
        <v>587.74101286592395</v>
      </c>
    </row>
    <row r="117" spans="1:5" ht="16.5" thickBot="1" x14ac:dyDescent="0.3">
      <c r="A117" s="97" t="s">
        <v>168</v>
      </c>
      <c r="B117" s="98" t="s">
        <v>149</v>
      </c>
      <c r="C117" s="99">
        <f>'Custo por trabalhador'!B662</f>
        <v>5.6500000000000002E-2</v>
      </c>
      <c r="D117" s="316">
        <f>'Custo por trabalhador'!K697*'J SUPERVISOR DEMAIS UNIDADES'!C117</f>
        <v>489.06284575735941</v>
      </c>
    </row>
    <row r="118" spans="1:5" ht="16.5" thickBot="1" x14ac:dyDescent="0.3">
      <c r="A118" s="97"/>
      <c r="B118" s="98" t="s">
        <v>324</v>
      </c>
      <c r="C118" s="331">
        <v>6.4999999999999997E-3</v>
      </c>
      <c r="D118" s="329">
        <f>'Custo por trabalhador'!K697*0.65%</f>
        <v>56.263867211023651</v>
      </c>
    </row>
    <row r="119" spans="1:5" ht="16.5" thickBot="1" x14ac:dyDescent="0.3">
      <c r="A119" s="97"/>
      <c r="B119" s="98" t="s">
        <v>325</v>
      </c>
      <c r="C119" s="327">
        <v>0.03</v>
      </c>
      <c r="D119" s="329">
        <f>'Custo por trabalhador'!K697*3%</f>
        <v>259.67938712780142</v>
      </c>
    </row>
    <row r="120" spans="1:5" ht="16.5" thickBot="1" x14ac:dyDescent="0.3">
      <c r="A120" s="97"/>
      <c r="B120" s="98" t="s">
        <v>323</v>
      </c>
      <c r="C120" s="327">
        <v>0.02</v>
      </c>
      <c r="D120" s="329">
        <f>'Custo por trabalhador'!K697*2%</f>
        <v>173.1195914185343</v>
      </c>
      <c r="E120" s="328"/>
    </row>
    <row r="121" spans="1:5" ht="16.5" thickBot="1" x14ac:dyDescent="0.3">
      <c r="A121" s="158" t="s">
        <v>192</v>
      </c>
      <c r="B121" s="159"/>
      <c r="C121" s="327"/>
      <c r="D121" s="316">
        <f>SUM(D115:D117)</f>
        <v>1297.5565492728979</v>
      </c>
    </row>
    <row r="124" spans="1:5" x14ac:dyDescent="0.25">
      <c r="A124" s="160" t="s">
        <v>218</v>
      </c>
      <c r="B124" s="160"/>
      <c r="C124" s="160"/>
    </row>
    <row r="125" spans="1:5" ht="16.5" thickBot="1" x14ac:dyDescent="0.3"/>
    <row r="126" spans="1:5" ht="16.5" thickBot="1" x14ac:dyDescent="0.3">
      <c r="A126" s="95"/>
      <c r="B126" s="121" t="s">
        <v>219</v>
      </c>
      <c r="C126" s="121" t="s">
        <v>163</v>
      </c>
    </row>
    <row r="127" spans="1:5" ht="16.5" thickBot="1" x14ac:dyDescent="0.3">
      <c r="A127" s="104" t="s">
        <v>164</v>
      </c>
      <c r="B127" s="98" t="s">
        <v>161</v>
      </c>
      <c r="C127" s="330">
        <f>C16</f>
        <v>3347.2</v>
      </c>
    </row>
    <row r="128" spans="1:5" ht="16.5" thickBot="1" x14ac:dyDescent="0.3">
      <c r="A128" s="104" t="s">
        <v>166</v>
      </c>
      <c r="B128" s="98" t="s">
        <v>176</v>
      </c>
      <c r="C128" s="330">
        <f>C60</f>
        <v>3037.2447999999999</v>
      </c>
    </row>
    <row r="129" spans="1:3" ht="16.5" thickBot="1" x14ac:dyDescent="0.3">
      <c r="A129" s="104" t="s">
        <v>168</v>
      </c>
      <c r="B129" s="98" t="s">
        <v>200</v>
      </c>
      <c r="C129" s="330">
        <f>C69</f>
        <v>398.78795015644448</v>
      </c>
    </row>
    <row r="130" spans="1:3" ht="16.5" thickBot="1" x14ac:dyDescent="0.3">
      <c r="A130" s="104" t="s">
        <v>170</v>
      </c>
      <c r="B130" s="98" t="s">
        <v>202</v>
      </c>
      <c r="C130" s="330">
        <f>C99</f>
        <v>377.70319893789497</v>
      </c>
    </row>
    <row r="131" spans="1:3" ht="16.5" thickBot="1" x14ac:dyDescent="0.3">
      <c r="A131" s="104" t="s">
        <v>171</v>
      </c>
      <c r="B131" s="98" t="s">
        <v>214</v>
      </c>
      <c r="C131" s="330">
        <f>C109</f>
        <v>19.797500000000003</v>
      </c>
    </row>
    <row r="132" spans="1:3" ht="16.5" thickBot="1" x14ac:dyDescent="0.3">
      <c r="A132" s="158" t="s">
        <v>220</v>
      </c>
      <c r="B132" s="159"/>
      <c r="C132" s="330">
        <f>SUM(C127:C131)</f>
        <v>7180.7334490943385</v>
      </c>
    </row>
    <row r="133" spans="1:3" ht="16.5" thickBot="1" x14ac:dyDescent="0.3">
      <c r="A133" s="104" t="s">
        <v>173</v>
      </c>
      <c r="B133" s="98" t="s">
        <v>221</v>
      </c>
      <c r="C133" s="330">
        <f>D121</f>
        <v>1297.5565492728979</v>
      </c>
    </row>
    <row r="134" spans="1:3" ht="16.5" thickBot="1" x14ac:dyDescent="0.3">
      <c r="A134" s="158" t="s">
        <v>222</v>
      </c>
      <c r="B134" s="159"/>
      <c r="C134" s="330">
        <f>C132+C133</f>
        <v>8478.289998367236</v>
      </c>
    </row>
  </sheetData>
  <mergeCells count="30">
    <mergeCell ref="A109:B109"/>
    <mergeCell ref="A112:C112"/>
    <mergeCell ref="A121:B121"/>
    <mergeCell ref="A124:C124"/>
    <mergeCell ref="A132:B132"/>
    <mergeCell ref="A134:B134"/>
    <mergeCell ref="A84:B84"/>
    <mergeCell ref="A87:C87"/>
    <mergeCell ref="A91:B91"/>
    <mergeCell ref="A94:C94"/>
    <mergeCell ref="A99:B99"/>
    <mergeCell ref="A102:C102"/>
    <mergeCell ref="A54:C54"/>
    <mergeCell ref="A60:B60"/>
    <mergeCell ref="A63:C63"/>
    <mergeCell ref="A69:B69"/>
    <mergeCell ref="A72:C72"/>
    <mergeCell ref="A75:C75"/>
    <mergeCell ref="A21:C21"/>
    <mergeCell ref="A26:B26"/>
    <mergeCell ref="A29:D29"/>
    <mergeCell ref="A40:B40"/>
    <mergeCell ref="A43:C43"/>
    <mergeCell ref="A51:B51"/>
    <mergeCell ref="A1:D1"/>
    <mergeCell ref="A2:D2"/>
    <mergeCell ref="A3:D3"/>
    <mergeCell ref="A6:C6"/>
    <mergeCell ref="A16:B16"/>
    <mergeCell ref="A19:C19"/>
  </mergeCells>
  <pageMargins left="0.511811024" right="0.511811024" top="0.78740157499999996" bottom="0.78740157499999996" header="0.31496062000000002" footer="0.31496062000000002"/>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Custo por trabalhador</vt:lpstr>
      <vt:lpstr>A - SERV GERAIS HIGIENE 40H</vt:lpstr>
      <vt:lpstr>B SERV GERAIS HIGIENE 12X36 DIU</vt:lpstr>
      <vt:lpstr>C SERV GERAIS HIGIENE 12X36 NOT</vt:lpstr>
      <vt:lpstr>D COPACOZINHA 12X36 DIU</vt:lpstr>
      <vt:lpstr>E COPACOZINHA 12X36 INTERMEDIAR</vt:lpstr>
      <vt:lpstr>F COPACOZINHA 12X36 NOTURNO</vt:lpstr>
      <vt:lpstr>G COPACOZINHA 40H</vt:lpstr>
      <vt:lpstr>H SERV GERAIS HIGI COPA 40H</vt:lpstr>
      <vt:lpstr>I SUPERVISOR UPA</vt:lpstr>
      <vt:lpstr>J SUPERVISOR DEMAIS UNIDADES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Arcangela Silva Casagrande</dc:creator>
  <cp:lastModifiedBy>SMS</cp:lastModifiedBy>
  <cp:lastPrinted>2026-09-01T20:05:12Z</cp:lastPrinted>
  <dcterms:created xsi:type="dcterms:W3CDTF">2018-01-23T19:35:16Z</dcterms:created>
  <dcterms:modified xsi:type="dcterms:W3CDTF">2026-09-01T20:05:27Z</dcterms:modified>
</cp:coreProperties>
</file>